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266" windowWidth="20745" windowHeight="13530" activeTab="0"/>
  </bookViews>
  <sheets>
    <sheet name="ТОО ПЭС г.Павлодар (за 2019г.)" sheetId="1" r:id="rId1"/>
    <sheet name="ТОО ПЭС г.Павлодар 201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'ТОО ПЭС г.Павлодар (за 2019г.)'!$A:$B,'ТОО ПЭС г.Павлодар (за 2019г.)'!$17:$21</definedName>
    <definedName name="_xlnm.Print_Area" localSheetId="0">'ТОО ПЭС г.Павлодар (за 2019г.)'!$A$1:$V$102</definedName>
  </definedNames>
  <calcPr fullCalcOnLoad="1"/>
</workbook>
</file>

<file path=xl/comments1.xml><?xml version="1.0" encoding="utf-8"?>
<comments xmlns="http://schemas.openxmlformats.org/spreadsheetml/2006/main">
  <authors>
    <author>Забиева Бибижан Бериковна</author>
  </authors>
  <commentList>
    <comment ref="K79" authorId="0">
      <text>
        <r>
          <rPr>
            <b/>
            <sz val="9"/>
            <rFont val="Tahoma"/>
            <family val="2"/>
          </rPr>
          <t xml:space="preserve">Забиева Бибижан Бериковна:
фактически сложив. тарифы
</t>
        </r>
      </text>
    </comment>
  </commentList>
</comments>
</file>

<file path=xl/comments2.xml><?xml version="1.0" encoding="utf-8"?>
<comments xmlns="http://schemas.openxmlformats.org/spreadsheetml/2006/main">
  <authors>
    <author>Забиева Бибижан Бериковна</author>
  </authors>
  <commentList>
    <comment ref="K79" authorId="0">
      <text>
        <r>
          <rPr>
            <b/>
            <sz val="9"/>
            <rFont val="Tahoma"/>
            <family val="2"/>
          </rPr>
          <t xml:space="preserve">Забиева Бибижан Бериковна:
фактически сложив. тарифы
</t>
        </r>
      </text>
    </comment>
  </commentList>
</comments>
</file>

<file path=xl/sharedStrings.xml><?xml version="1.0" encoding="utf-8"?>
<sst xmlns="http://schemas.openxmlformats.org/spreadsheetml/2006/main" count="460" uniqueCount="266">
  <si>
    <t>№ п/п</t>
  </si>
  <si>
    <t>1.1.</t>
  </si>
  <si>
    <t>1.2.</t>
  </si>
  <si>
    <t>2.1.</t>
  </si>
  <si>
    <t>2.2.</t>
  </si>
  <si>
    <t>Расходы периода</t>
  </si>
  <si>
    <t>Услуги сторонних организаций</t>
  </si>
  <si>
    <t>аудит</t>
  </si>
  <si>
    <t>командировочные расходы</t>
  </si>
  <si>
    <t>услуги банка</t>
  </si>
  <si>
    <t>охрана объектов</t>
  </si>
  <si>
    <t>налог на имущество</t>
  </si>
  <si>
    <t>I</t>
  </si>
  <si>
    <t>тыс. тенге</t>
  </si>
  <si>
    <t>в том числе:</t>
  </si>
  <si>
    <t>Материальные затраты, всего</t>
  </si>
  <si>
    <t>-\\-</t>
  </si>
  <si>
    <t>Покупная энергия в горячей воде для централизованного теплоснабжения</t>
  </si>
  <si>
    <t>Передача и распределение тепловой энергии в горячей воде</t>
  </si>
  <si>
    <t>II</t>
  </si>
  <si>
    <t>Материалы на эксплуатацию</t>
  </si>
  <si>
    <t>материалы по АСУ</t>
  </si>
  <si>
    <t>Затраты на оплату труда, всего</t>
  </si>
  <si>
    <t>3.1.</t>
  </si>
  <si>
    <t>заработная плата</t>
  </si>
  <si>
    <t>3.2.</t>
  </si>
  <si>
    <t>социальный налог</t>
  </si>
  <si>
    <t>Амортизация</t>
  </si>
  <si>
    <t>5.1.</t>
  </si>
  <si>
    <t xml:space="preserve">услуги по транспорту </t>
  </si>
  <si>
    <t>Прочие услуги</t>
  </si>
  <si>
    <t>6.1.</t>
  </si>
  <si>
    <t>6.2.</t>
  </si>
  <si>
    <t>канцелярские и  почтово-телеграфные расходы</t>
  </si>
  <si>
    <t>6.3.</t>
  </si>
  <si>
    <t>услуги связи (радио, телефон)</t>
  </si>
  <si>
    <t>6.4.</t>
  </si>
  <si>
    <t>6.5.</t>
  </si>
  <si>
    <t>6.6.</t>
  </si>
  <si>
    <t>налоговые платежи и сборы</t>
  </si>
  <si>
    <t>страхование работников</t>
  </si>
  <si>
    <t>6.7.</t>
  </si>
  <si>
    <t xml:space="preserve">аренда помещений </t>
  </si>
  <si>
    <t>6.8.</t>
  </si>
  <si>
    <t>затраты по технике безопасности и охране труда</t>
  </si>
  <si>
    <t>информационные, регистраторские услуги</t>
  </si>
  <si>
    <t>6.10.</t>
  </si>
  <si>
    <t>изготовление бланочной продукции</t>
  </si>
  <si>
    <t>6.12.</t>
  </si>
  <si>
    <t>III</t>
  </si>
  <si>
    <t>IV</t>
  </si>
  <si>
    <t>Прибыль</t>
  </si>
  <si>
    <t>V</t>
  </si>
  <si>
    <t>Всего доходов</t>
  </si>
  <si>
    <t>VI</t>
  </si>
  <si>
    <t>VII</t>
  </si>
  <si>
    <t>Полезный отпуск тепловой энергии</t>
  </si>
  <si>
    <t>тыс. Гкал</t>
  </si>
  <si>
    <t>1.3.</t>
  </si>
  <si>
    <t>1.4.</t>
  </si>
  <si>
    <t>материалы по техн.обслуживанию</t>
  </si>
  <si>
    <t>6.11.</t>
  </si>
  <si>
    <t>приобретение нормативно-технической литературы</t>
  </si>
  <si>
    <t>VIII</t>
  </si>
  <si>
    <t>тенге/ Гкал</t>
  </si>
  <si>
    <t>6.9.</t>
  </si>
  <si>
    <t>5.2.</t>
  </si>
  <si>
    <t>%</t>
  </si>
  <si>
    <t>Всего затрат</t>
  </si>
  <si>
    <t xml:space="preserve"> </t>
  </si>
  <si>
    <t>Отклонение</t>
  </si>
  <si>
    <t>Всего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</si>
  <si>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</si>
  <si>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</si>
  <si>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в том числе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</si>
  <si>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</si>
  <si>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</si>
  <si>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от ТЭЦ-2 пар 16</t>
  </si>
  <si>
    <t>от ТЭЦ-3</t>
  </si>
  <si>
    <t>ИТП</t>
  </si>
  <si>
    <t>ЦТП</t>
  </si>
  <si>
    <t>пар 16</t>
  </si>
  <si>
    <t>горячая вода</t>
  </si>
  <si>
    <t>Тариф без учета НДС</t>
  </si>
  <si>
    <t>проценты распределения объемов реализации</t>
  </si>
  <si>
    <t>Справочно:</t>
  </si>
  <si>
    <t>тенге</t>
  </si>
  <si>
    <t>Ед.измерения</t>
  </si>
  <si>
    <t>IX</t>
  </si>
  <si>
    <t>X</t>
  </si>
  <si>
    <t>Прочие потребители</t>
  </si>
  <si>
    <t>Объемы для потребителей, присоединенных к сетям централизованного теплоснабжения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</si>
  <si>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</si>
  <si>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</si>
  <si>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</si>
  <si>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для прочих потребителей, имеющих общедомовые приборы учета тепловой энергии</t>
  </si>
  <si>
    <t>для прочих потребителей, не имеющих общедомовые приборы учета тепловой энергии</t>
  </si>
  <si>
    <t>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</si>
  <si>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Среднесписочная численность, всего</t>
  </si>
  <si>
    <t>чел.</t>
  </si>
  <si>
    <t>Среднемесячная заработная плата, всего</t>
  </si>
  <si>
    <t>Снабженческая надбавка</t>
  </si>
  <si>
    <t>тенге/Гкал</t>
  </si>
  <si>
    <t>плата за загрязнение окружающей среды, земельный налог</t>
  </si>
  <si>
    <t xml:space="preserve"> (цен, ставок сборов) и тарифных смет</t>
  </si>
  <si>
    <t xml:space="preserve"> субъектов естественных монополий</t>
  </si>
  <si>
    <t xml:space="preserve">на регулируемые услуги (товары, работы) </t>
  </si>
  <si>
    <t>Наименование показателей тарифной сметы</t>
  </si>
  <si>
    <t>Срок представления - ежегодно не позднее 1 мая года, следующего за отчетным периодом</t>
  </si>
  <si>
    <t>Наименование организации "ТОО Павлодарэнергосбыт"</t>
  </si>
  <si>
    <t>М.П.</t>
  </si>
  <si>
    <t xml:space="preserve"> За счет заниженной  средней з/п в утвержденной тарифной смете.</t>
  </si>
  <si>
    <t xml:space="preserve">Приложение 1 </t>
  </si>
  <si>
    <t xml:space="preserve"> к Правилам утверждения  предельного уровня тарифов</t>
  </si>
  <si>
    <t>Регулируемая база задействованных активов (РБА)</t>
  </si>
  <si>
    <t>Покупная энергия в горячей воде от ТЭЦ-3 АО "ПАВЛОДАРЭНЕРГО"</t>
  </si>
  <si>
    <t>Покупная энергия в паре от ТЭЦ-3 и ТЭЦ-2  АО "ПАВЛОДАРЭНЕРГО"</t>
  </si>
  <si>
    <t>Затраты на производство товаров и предоставление услуг, всего</t>
  </si>
  <si>
    <t>прочие услуги (обслуживание ККМ, КСМ)</t>
  </si>
  <si>
    <t>Физические лица</t>
  </si>
  <si>
    <t>№ 213-ОД от 17.07.2013 года</t>
  </si>
  <si>
    <t>Отчет об исполнении тарифной сметы на услуги по снабжению тепловой энергией г.Павлодара ТОО "Павлодарэнергосбыт"</t>
  </si>
  <si>
    <t>Представляет: ТОО "Павлодарэнергосбыт"</t>
  </si>
  <si>
    <t>Причины отклонений</t>
  </si>
  <si>
    <r>
      <t xml:space="preserve">Телефон </t>
    </r>
    <r>
      <rPr>
        <u val="single"/>
        <sz val="12"/>
        <rFont val="Times New Roman"/>
        <family val="1"/>
      </rPr>
      <t>39-95-24</t>
    </r>
  </si>
  <si>
    <t>Бюджетные организации</t>
  </si>
  <si>
    <t>для бюджетных организаций, имеющих общедомовые приборы учета тепловой энергии</t>
  </si>
  <si>
    <t>для бюджетных организаций, не имеющих общедомовые приборы учета тепловой энергии</t>
  </si>
  <si>
    <t>для бюджетных организаций,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</si>
  <si>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За счет роста стоимости поставщиков услуг</t>
  </si>
  <si>
    <t>По фактически сложившимся показателям в  соответствие с установленной ставкой налога на землю согласно НК РК</t>
  </si>
  <si>
    <t>Индекс: ИТС-1</t>
  </si>
  <si>
    <r>
      <t xml:space="preserve">Адрес </t>
    </r>
    <r>
      <rPr>
        <u val="single"/>
        <sz val="12"/>
        <rFont val="Times New Roman"/>
        <family val="1"/>
      </rPr>
      <t>г.Павлодар ул.Кривенко,27</t>
    </r>
  </si>
  <si>
    <r>
      <t xml:space="preserve">Адрес электронной почты </t>
    </r>
    <r>
      <rPr>
        <u val="single"/>
        <sz val="12"/>
        <rFont val="Times New Roman"/>
        <family val="1"/>
      </rPr>
      <t>office@pavlodarenergo.kz</t>
    </r>
  </si>
  <si>
    <t>3.3.</t>
  </si>
  <si>
    <t>Обязательное социальное медицинское страхование</t>
  </si>
  <si>
    <t>За счет увеличения  стоимости  канцтоваров и почтово-телеграфных услуг</t>
  </si>
  <si>
    <t>В соответствии с требованием по условиям труда</t>
  </si>
  <si>
    <t>За счет фактических расходов по ФОТ и расходов по ОСМС (введено в действие с 1 июля 2017 года согласно Закона РК «Об обязательном социальном медицинском страховании»)</t>
  </si>
  <si>
    <t>В связи с ростом стоимости  цен поставщиков на расходные материалы АСУ (картриджи, ремкомплекты и прочие комплектующие материалы)</t>
  </si>
  <si>
    <t>по фактически сложившимся показателям</t>
  </si>
  <si>
    <t xml:space="preserve"> согласно ставкам установленный НК РК по  ОС числящихся  в бух учете.</t>
  </si>
  <si>
    <t xml:space="preserve">Генеральный директор                               </t>
  </si>
  <si>
    <t>Т. Г. Аргинов</t>
  </si>
  <si>
    <t>В соответствии с заключенным договором, экономия в пределах допустимых норм</t>
  </si>
  <si>
    <t>Удорожание стоимости периодической печати, сумма в утвержденной тарифной смете была занижена</t>
  </si>
  <si>
    <t xml:space="preserve">Павлодар қ. жылу энергиясымен жабдықтау бойынша "Павлодарэнергосбыт" ЖШС-ның қызметтеріне тарифтік сметаларды орындау туралы есеп </t>
  </si>
  <si>
    <r>
      <t xml:space="preserve">Есептік кезең </t>
    </r>
    <r>
      <rPr>
        <u val="single"/>
        <sz val="12"/>
        <rFont val="Times New Roman"/>
        <family val="1"/>
      </rPr>
      <t>2018 жыл</t>
    </r>
  </si>
  <si>
    <t>Индексі: ТСОЕ-1</t>
  </si>
  <si>
    <t>Мерзімділігі: жылдық</t>
  </si>
  <si>
    <t>Ұсынған: "Павлодарэнергосбыт" ЖШС</t>
  </si>
  <si>
    <t xml:space="preserve">Форма қайда ұсынылады: Қазақстан Республикасы Ұлттық экономика министрлігі Табиғи монополияларды реттеу, тұтынушылардың құқықтарын және бәсекелестікті қорғау комитетіне </t>
  </si>
  <si>
    <t>Ұсыну мерзімі - жыл сайын есептік кезеңнен кейінгі жылдың 01 мамырынан кешіктірмей</t>
  </si>
  <si>
    <t>№ р/с</t>
  </si>
  <si>
    <t>Тарифтік сметадағы көрсеткіштер атауы</t>
  </si>
  <si>
    <t>Өлшем бірлігі</t>
  </si>
  <si>
    <t xml:space="preserve">2018 жылға  бекітілген тарифтік сметада қарастырылған </t>
  </si>
  <si>
    <t xml:space="preserve">2018 жылға нақты қалыптасқан тарифтік смета көрсеткіштері </t>
  </si>
  <si>
    <t>Ауытқу</t>
  </si>
  <si>
    <t>Ауытқу себептері</t>
  </si>
  <si>
    <t>Барлығы</t>
  </si>
  <si>
    <t xml:space="preserve">Орталықтандырылған жылумен жабдықтау желілеріне қосылған тұтынушылар үшін </t>
  </si>
  <si>
    <t xml:space="preserve">Орталықтандырылған жылумен жабдықтау желілеріне қосылмаған тұтынушылар үшін </t>
  </si>
  <si>
    <t>оның ішінде</t>
  </si>
  <si>
    <t>ЖЭО-2-ден 16 буда</t>
  </si>
  <si>
    <t>ЖЭО-3-тен</t>
  </si>
  <si>
    <t>ЖЖО</t>
  </si>
  <si>
    <t>ОЖО</t>
  </si>
  <si>
    <t xml:space="preserve"> 16 бу</t>
  </si>
  <si>
    <t>ыстық су</t>
  </si>
  <si>
    <t>Тауарларды өндіру мен қызметтерді көрсетуге шығындар, барлығы</t>
  </si>
  <si>
    <t>мың теңге</t>
  </si>
  <si>
    <t>оның ішінде:</t>
  </si>
  <si>
    <t>Материалдық шығындар, барлығы</t>
  </si>
  <si>
    <t>орталықтандырылған жылумен жабдықтау үшін ыстық суда сатып алынған энергия</t>
  </si>
  <si>
    <t xml:space="preserve">Тұтыну көлемдерін арттыру есебінен, сонымен қатар "АП-162/3" ММ-нің тікелей тұтынуға көшуіне байланысты </t>
  </si>
  <si>
    <t>"ПАВЛОДАРЭНЕРГО" АҚ ЖЭО-3-тен ыстық суда сатып алынған энергия</t>
  </si>
  <si>
    <t xml:space="preserve">"Гелиос" ЖШС-ның тұтынуды тоқтатуына және "АП-162/3" ММ тікелей тұтынуға көшуіне байланысты  </t>
  </si>
  <si>
    <t>"ПАВЛОДАРЭНЕРГО" АҚ ЖЭО-3 пен ЖЭО-2-ден будағы сатып алынған энергия</t>
  </si>
  <si>
    <t xml:space="preserve">"Статус" ЖШС-ның 1,922 Гкал-ға, "Ертіс сервис" ЖШС-ның 30,382 Гкал-ға тұтыну көлемдерінің  төмендеуі     </t>
  </si>
  <si>
    <t xml:space="preserve">Ыстық суда жылу энергиясын беру және тарату </t>
  </si>
  <si>
    <t xml:space="preserve">Нақты Жжс төмендету есебінен ЖЭЕҚ бойынша Гкал тұтыну көлемдерін арттыру </t>
  </si>
  <si>
    <t>Кезеңдік шығыстар</t>
  </si>
  <si>
    <t>Пайдалануға арналған материалдар</t>
  </si>
  <si>
    <t>АСУ бойынша материалдар</t>
  </si>
  <si>
    <t xml:space="preserve">АСУ (картридждер, жөндеу жинақтамалары мен өзге де жинақтама материалдары) шығын материалдарына кеткен жеткізуші баға құнының өсуіне байланысты   </t>
  </si>
  <si>
    <t>техн. қызмет көрсету бойынша материалдар</t>
  </si>
  <si>
    <t>Еңбекақы төлеуге кеткен шығындар, барлығы</t>
  </si>
  <si>
    <t>еңбекақы</t>
  </si>
  <si>
    <t xml:space="preserve">Төмендетілген орташа еңбекақы есебінен, бекітілген тарифтік сметада орташа еңбекақы 59862 теңгені, ал нақты еңбекақы 89 630 теңгені құрайды.  </t>
  </si>
  <si>
    <t>әлеуметтік салық</t>
  </si>
  <si>
    <t xml:space="preserve">ЕҚТ бойынша нақты шығындары мен МӘМС бойынша шығындары есебінен ("Міндетті әлеуметтік медициналық сақтандыру туралы" ҚР Заңына сәйкес 2017 жылғы 1 шілдеден бастап қолданысқа енгізілген )   </t>
  </si>
  <si>
    <t xml:space="preserve">Міндетті әлеуметтік медициналық сақтандыру </t>
  </si>
  <si>
    <t>Жақтас ұйымдардың қызметтері</t>
  </si>
  <si>
    <t>көлік қызметтері</t>
  </si>
  <si>
    <t>қызмет жеткізушілері құнының өсуіне байланысты</t>
  </si>
  <si>
    <t>өзге қызметтер (ККМ, КСМ қызмет көрсету)</t>
  </si>
  <si>
    <t xml:space="preserve">Өзге қызметтер </t>
  </si>
  <si>
    <t>іс-сапарлық шығыстар</t>
  </si>
  <si>
    <t xml:space="preserve">АЕК өсуі, жол жүру мен тұру құнының артуы есебінен  </t>
  </si>
  <si>
    <t>кеңселік және пошта-телеграфтық шығындар</t>
  </si>
  <si>
    <t xml:space="preserve">Кеңселік тауарлар мен пошта-телеграфтық қызметтер құнының артуы есебінен </t>
  </si>
  <si>
    <t>Байланыс (радио, телефон) қызметтері</t>
  </si>
  <si>
    <t>банк қызметтері</t>
  </si>
  <si>
    <t>нысандарды күзету</t>
  </si>
  <si>
    <t>салық төлемдері мен алымдары</t>
  </si>
  <si>
    <t>қоршаған ортаны ластағаны үшін ақы, жер салығы</t>
  </si>
  <si>
    <t xml:space="preserve">ҚР СК сай жерге салынған салықтың белгіленген мөлшерлемесіне сәйкес нақты қалыптасқан көрсеткіштері бойынша  </t>
  </si>
  <si>
    <t xml:space="preserve">мүлікке салынатын салық </t>
  </si>
  <si>
    <t xml:space="preserve">нақты қалыптасқан көрсеткіштер бойынша </t>
  </si>
  <si>
    <t>қызметкерлерді сақтандыру</t>
  </si>
  <si>
    <t>жасалған шарттарға сәйкес</t>
  </si>
  <si>
    <t>Үй-жайларды жалға алу</t>
  </si>
  <si>
    <t xml:space="preserve">Қауіпсіздік техникасы мен еңбекті қорғау жөніндегі шығындар </t>
  </si>
  <si>
    <t xml:space="preserve">еңбек жағдайлары бойынша талаптарға сәйкес </t>
  </si>
  <si>
    <t>ақпараттық, тіркеу қызметтері</t>
  </si>
  <si>
    <t xml:space="preserve">Тарифтік сметадағы төмендетілген сома есебінен. БАҚ-да тарифтерді өзгерту, көпшілік тыңдаулар, жылдық есептер, ТСӨ және ИБ жарияланымдар мен хабарландыруларын орналастыру, сонымен қатар Заңнама Параграф ДҚ ортану 1 база+8 қ. орын </t>
  </si>
  <si>
    <t>нормативтік-техникалық әдебиетті салып алу</t>
  </si>
  <si>
    <t xml:space="preserve">Мерзімдік басылымдар құнының қымбаттауы және бекітілген тарифтік сметадағы төмендетілген сома есебінен </t>
  </si>
  <si>
    <t>бланк өнімдерін дайындау</t>
  </si>
  <si>
    <t>Барлық шығындар</t>
  </si>
  <si>
    <t xml:space="preserve">Пайда </t>
  </si>
  <si>
    <t xml:space="preserve">Диф. тарифтерді қолданудан туындаған залалдар, 2018 жылдың 01 мамырынан бастап ТРШ ретінде ЖЭО-1 жылу энергиясын өндіруге тарифті қолданысқа енгізу, сонымен қатар жабдықтау үстемесі бойынша шығындардың артуы   </t>
  </si>
  <si>
    <t xml:space="preserve">Қолданыстағы активтердің реттелетін қоры (АРҚ) </t>
  </si>
  <si>
    <t xml:space="preserve">Барлық табыстар </t>
  </si>
  <si>
    <t xml:space="preserve">Жылу энергиясын пайдалы босату </t>
  </si>
  <si>
    <t>мың Гкал</t>
  </si>
  <si>
    <t>ҚҚС есебісіз тариф</t>
  </si>
  <si>
    <t>теңге/ Гкал</t>
  </si>
  <si>
    <t xml:space="preserve">Орталықтандырылған жылумен жабдықтау желілеріне қосылған тұтынушылар үшін көлемдер </t>
  </si>
  <si>
    <t>Жеке тұлғалар</t>
  </si>
  <si>
    <t>Өзге тұтынушылар</t>
  </si>
  <si>
    <t>Бюджеттік ұйымдар</t>
  </si>
  <si>
    <t xml:space="preserve"> 2018 жылы мына тарифтер қолданылды: - 01.01.2018ж. мен 30.04 2018ж. аралығында ҚР ҰЭМ ТМРТҚжБҚК Павлодар облысы бойынша комитетінің 2017ж. 18.03-тегі №28-НҚ бұйрығымен бекітілген;
- 01.05.2018ж. бастап ҚР ҰЭМ ТМРТҚжБҚК Павлодар облысы бойынша комитетінің 2018ж. 23.04-тегі №57-НҚ бұйрығымен бекітілген; 
-с 01.12.2018ж. ҚР ҰЭМ ТМРТҚжБҚК Павлодар облысы бойынша комитетімен 2018ж. 10.12-дегі №2-07/2904 келісуі 
</t>
  </si>
  <si>
    <t xml:space="preserve">жылу энергиясын есептейтін жалпы үйлік құралдары бар халық тобына жататын жеке тұлғаларға </t>
  </si>
  <si>
    <t xml:space="preserve">жылу энергиясын есептейтін жалпы үйлік құралдары жоқ халық тобына жататын жеке тұлғаларға </t>
  </si>
  <si>
    <t xml:space="preserve">жылу энергиясын есептейтін жалпы үйлік құралдарын орнатуға техникалық мүмкіндігі жоқ ескі, апаттық үй-жайларда, барақ типті үйлерде тұратын халық тобына жататын жеке тұлғалар үшін  </t>
  </si>
  <si>
    <t>жылу энергиясын есептейтін жалпы үйлік құралдары  бар өзге тұтынушылар үшін</t>
  </si>
  <si>
    <t>жылу энергиясын есептейтін жалпы үйлік құралдары  жоқ өзге тұтынушылар үшін</t>
  </si>
  <si>
    <t xml:space="preserve">жылу энергиясын есептейтін жалпы үйлік құралдарын орнатуға техникалық мүмкіндігі жоқ ескі, апаттық үй-жайларда, барақ типті үйлерде тұратын өзге тұтынушылар үшін   </t>
  </si>
  <si>
    <t xml:space="preserve">жылу энергиясын есептейтін жалпы үйлік құралдары бар бюджеттік ұйымдар үшін </t>
  </si>
  <si>
    <t xml:space="preserve">жылу энергиясын есептейтін жалпы үйлік құралдары жоқ бюджеттік ұйымдар үшін </t>
  </si>
  <si>
    <t>жылу энергиясын есептейтін жалпы үйлік құралдарын орнатуға техникалық мүмкіндігі жоқ ескі, апаттық үй-жайларда, барақ типті үйлерде орналасқан бюджеттік ұйымдар үшін</t>
  </si>
  <si>
    <t>Ұйым атауы "Павлодарэнергосбыт" ЖШС</t>
  </si>
  <si>
    <r>
      <t xml:space="preserve">Мекенжай </t>
    </r>
    <r>
      <rPr>
        <u val="single"/>
        <sz val="12"/>
        <rFont val="Times New Roman"/>
        <family val="1"/>
      </rPr>
      <t>Павлодар қ., Кривенко көш., 27</t>
    </r>
  </si>
  <si>
    <r>
      <t xml:space="preserve">Электрондық пошта мекенжайы </t>
    </r>
    <r>
      <rPr>
        <u val="single"/>
        <sz val="12"/>
        <rFont val="Times New Roman"/>
        <family val="1"/>
      </rPr>
      <t>office@pavlodarenergo.kz</t>
    </r>
  </si>
  <si>
    <r>
      <t xml:space="preserve">Орындаушының тегі және телефоны А.К. </t>
    </r>
    <r>
      <rPr>
        <u val="single"/>
        <sz val="12"/>
        <rFont val="Times New Roman"/>
        <family val="1"/>
      </rPr>
      <t>Омарова т.39-96-55</t>
    </r>
  </si>
  <si>
    <t xml:space="preserve">Бас директор                               </t>
  </si>
  <si>
    <t>Т. Ғ. Арғынов</t>
  </si>
  <si>
    <t>Күні  "____ " ______________ 2019 жыл</t>
  </si>
  <si>
    <t>М.О.</t>
  </si>
  <si>
    <t>Предусмотрено в утвержденной тарифной смете на 2019г.</t>
  </si>
  <si>
    <t>Фактически сложившиеся показатели тарифной сметы за 2019г.</t>
  </si>
  <si>
    <r>
      <t xml:space="preserve">Отчетный период </t>
    </r>
    <r>
      <rPr>
        <u val="single"/>
        <sz val="12"/>
        <rFont val="Times New Roman"/>
        <family val="1"/>
      </rPr>
      <t>2019 год</t>
    </r>
  </si>
  <si>
    <t>Дата  "____ " ______________ 2020 год</t>
  </si>
  <si>
    <r>
      <t xml:space="preserve">Фамилия и телефон исполнителя </t>
    </r>
    <r>
      <rPr>
        <u val="single"/>
        <sz val="12"/>
        <rFont val="Times New Roman"/>
        <family val="1"/>
      </rPr>
      <t>Омарова А.К. т.39-96-71</t>
    </r>
  </si>
  <si>
    <t>Периодичность: годовая</t>
  </si>
  <si>
    <t>Куда представляется форма: в Комитет по регулированию естественных монополий Министерства национальной экономики Республики Казахстан</t>
  </si>
  <si>
    <t xml:space="preserve"> к Правилам формирования тарифов</t>
  </si>
  <si>
    <t>№ 90 от 19.11.2019 года</t>
  </si>
  <si>
    <t>За счет заниженной суммы  средней з/п,  в утвержденной тарифной смете.</t>
  </si>
  <si>
    <t>Размещение объявления об изменении тарифов, а также установка ИС Параграф</t>
  </si>
  <si>
    <t xml:space="preserve">Убытки от применения диф. тарифов, а также  увеличения расходов по снабженческой надбавке  </t>
  </si>
  <si>
    <t xml:space="preserve">В связи с перезаключением договора с РГУ "АП-162/3"  и передачей сетей АО "Каустик" на баланс ТОО "ПТС" </t>
  </si>
  <si>
    <t xml:space="preserve">Уменьшение объемов потребления ТОО "Статус" , ТОО "Ертыс сервис" </t>
  </si>
  <si>
    <t>Уменьшение объемов потребления в Гкал по  ПУТЭ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</si>
</sst>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0.0"/>
    <numFmt numFmtId="181" formatCode="#,##0.0000"/>
    <numFmt numFmtId="182" formatCode="#,##0.00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-;\-* #,##0.00_-;_-* &quot;-&quot;??_-;_-@_-"/>
    <numFmt numFmtId="189" formatCode="_-* #,##0_-;\-* #,##0_-;_-* &quot;-&quot;??_-;_-@_-"/>
    <numFmt numFmtId="190" formatCode="_-* #,##0.000_-;\-* #,##0.000_-;_-* &quot;-&quot;??_-;_-@_-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0.000%"/>
    <numFmt numFmtId="195" formatCode="0.0000%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.5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9"/>
      <name val="Tahoma"/>
      <family val="2"/>
    </font>
    <font>
      <b/>
      <sz val="12"/>
      <color indexed="9"/>
      <name val="Times New Roman"/>
      <family val="1"/>
    </font>
    <font>
      <sz val="12"/>
      <color indexed="9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.5"/>
      <color indexed="10"/>
      <name val="Times New Roman"/>
      <family val="1"/>
    </font>
    <font>
      <sz val="12"/>
      <color indexed="10"/>
      <name val="Arial Cyr"/>
      <family val="0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Arial Cyr"/>
      <family val="0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.5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2" fontId="5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2" fontId="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6" fillId="33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9" fontId="6" fillId="0" borderId="30" xfId="57" applyFont="1" applyFill="1" applyBorder="1" applyAlignment="1">
      <alignment vertical="center"/>
    </xf>
    <xf numFmtId="9" fontId="5" fillId="0" borderId="31" xfId="57" applyFont="1" applyFill="1" applyBorder="1" applyAlignment="1">
      <alignment vertical="center"/>
    </xf>
    <xf numFmtId="9" fontId="5" fillId="0" borderId="29" xfId="57" applyFont="1" applyFill="1" applyBorder="1" applyAlignment="1">
      <alignment vertical="center"/>
    </xf>
    <xf numFmtId="9" fontId="5" fillId="0" borderId="30" xfId="57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9" fontId="6" fillId="0" borderId="33" xfId="57" applyFont="1" applyFill="1" applyBorder="1" applyAlignment="1">
      <alignment vertical="center"/>
    </xf>
    <xf numFmtId="9" fontId="5" fillId="0" borderId="36" xfId="57" applyFont="1" applyFill="1" applyBorder="1" applyAlignment="1">
      <alignment vertical="center"/>
    </xf>
    <xf numFmtId="9" fontId="5" fillId="0" borderId="34" xfId="57" applyFont="1" applyFill="1" applyBorder="1" applyAlignment="1">
      <alignment vertical="center"/>
    </xf>
    <xf numFmtId="9" fontId="5" fillId="0" borderId="35" xfId="57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9" fontId="6" fillId="0" borderId="39" xfId="57" applyFont="1" applyFill="1" applyBorder="1" applyAlignment="1">
      <alignment vertical="center"/>
    </xf>
    <xf numFmtId="9" fontId="5" fillId="0" borderId="40" xfId="57" applyFont="1" applyFill="1" applyBorder="1" applyAlignment="1">
      <alignment vertical="center"/>
    </xf>
    <xf numFmtId="9" fontId="5" fillId="0" borderId="41" xfId="57" applyFont="1" applyFill="1" applyBorder="1" applyAlignment="1">
      <alignment vertical="center"/>
    </xf>
    <xf numFmtId="9" fontId="5" fillId="0" borderId="39" xfId="57" applyFont="1" applyFill="1" applyBorder="1" applyAlignment="1">
      <alignment vertical="center"/>
    </xf>
    <xf numFmtId="9" fontId="6" fillId="0" borderId="40" xfId="57" applyFont="1" applyFill="1" applyBorder="1" applyAlignment="1">
      <alignment vertical="center"/>
    </xf>
    <xf numFmtId="9" fontId="6" fillId="0" borderId="41" xfId="57" applyFont="1" applyFill="1" applyBorder="1" applyAlignment="1">
      <alignment vertical="center"/>
    </xf>
    <xf numFmtId="3" fontId="5" fillId="33" borderId="35" xfId="0" applyNumberFormat="1" applyFont="1" applyFill="1" applyBorder="1" applyAlignment="1">
      <alignment vertical="center"/>
    </xf>
    <xf numFmtId="3" fontId="6" fillId="33" borderId="35" xfId="0" applyNumberFormat="1" applyFont="1" applyFill="1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33" borderId="39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" fontId="5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" fontId="6" fillId="0" borderId="33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vertical="center" wrapText="1"/>
    </xf>
    <xf numFmtId="3" fontId="6" fillId="33" borderId="46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179" fontId="6" fillId="33" borderId="35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9" fontId="6" fillId="0" borderId="35" xfId="57" applyFont="1" applyFill="1" applyBorder="1" applyAlignment="1">
      <alignment vertical="center"/>
    </xf>
    <xf numFmtId="9" fontId="6" fillId="0" borderId="36" xfId="57" applyFont="1" applyFill="1" applyBorder="1" applyAlignment="1">
      <alignment vertical="center"/>
    </xf>
    <xf numFmtId="9" fontId="6" fillId="0" borderId="34" xfId="57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4" fontId="6" fillId="33" borderId="35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179" fontId="5" fillId="0" borderId="37" xfId="0" applyNumberFormat="1" applyFont="1" applyFill="1" applyBorder="1" applyAlignment="1">
      <alignment vertical="center"/>
    </xf>
    <xf numFmtId="179" fontId="5" fillId="33" borderId="14" xfId="0" applyNumberFormat="1" applyFont="1" applyFill="1" applyBorder="1" applyAlignment="1">
      <alignment horizontal="center" vertical="center"/>
    </xf>
    <xf numFmtId="179" fontId="5" fillId="0" borderId="47" xfId="0" applyNumberFormat="1" applyFont="1" applyFill="1" applyBorder="1" applyAlignment="1">
      <alignment vertical="center"/>
    </xf>
    <xf numFmtId="179" fontId="5" fillId="33" borderId="4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4" fontId="6" fillId="0" borderId="31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9" fontId="6" fillId="0" borderId="31" xfId="57" applyFont="1" applyFill="1" applyBorder="1" applyAlignment="1">
      <alignment vertical="center"/>
    </xf>
    <xf numFmtId="9" fontId="6" fillId="0" borderId="29" xfId="57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vertical="center" wrapText="1"/>
    </xf>
    <xf numFmtId="0" fontId="5" fillId="33" borderId="49" xfId="0" applyFont="1" applyFill="1" applyBorder="1" applyAlignment="1">
      <alignment/>
    </xf>
    <xf numFmtId="4" fontId="5" fillId="33" borderId="50" xfId="0" applyNumberFormat="1" applyFont="1" applyFill="1" applyBorder="1" applyAlignment="1">
      <alignment vertical="center"/>
    </xf>
    <xf numFmtId="4" fontId="5" fillId="33" borderId="51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vertical="center"/>
    </xf>
    <xf numFmtId="4" fontId="6" fillId="0" borderId="51" xfId="0" applyNumberFormat="1" applyFont="1" applyFill="1" applyBorder="1" applyAlignment="1">
      <alignment vertical="center"/>
    </xf>
    <xf numFmtId="9" fontId="5" fillId="0" borderId="14" xfId="57" applyFont="1" applyFill="1" applyBorder="1" applyAlignment="1">
      <alignment vertical="center"/>
    </xf>
    <xf numFmtId="9" fontId="6" fillId="0" borderId="14" xfId="57" applyFont="1" applyFill="1" applyBorder="1" applyAlignment="1">
      <alignment vertical="center"/>
    </xf>
    <xf numFmtId="9" fontId="6" fillId="0" borderId="37" xfId="57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33" borderId="33" xfId="0" applyFont="1" applyFill="1" applyBorder="1" applyAlignment="1">
      <alignment/>
    </xf>
    <xf numFmtId="4" fontId="5" fillId="33" borderId="36" xfId="0" applyNumberFormat="1" applyFont="1" applyFill="1" applyBorder="1" applyAlignment="1">
      <alignment vertical="center"/>
    </xf>
    <xf numFmtId="4" fontId="5" fillId="33" borderId="37" xfId="0" applyNumberFormat="1" applyFont="1" applyFill="1" applyBorder="1" applyAlignment="1">
      <alignment vertical="center"/>
    </xf>
    <xf numFmtId="9" fontId="5" fillId="0" borderId="43" xfId="57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9" fontId="5" fillId="0" borderId="52" xfId="57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179" fontId="6" fillId="0" borderId="53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54" xfId="0" applyNumberFormat="1" applyFont="1" applyFill="1" applyBorder="1" applyAlignment="1">
      <alignment vertical="center"/>
    </xf>
    <xf numFmtId="179" fontId="6" fillId="33" borderId="28" xfId="0" applyNumberFormat="1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9" fontId="6" fillId="33" borderId="28" xfId="57" applyFont="1" applyFill="1" applyBorder="1" applyAlignment="1">
      <alignment vertical="center"/>
    </xf>
    <xf numFmtId="9" fontId="6" fillId="0" borderId="32" xfId="57" applyFont="1" applyFill="1" applyBorder="1" applyAlignment="1">
      <alignment vertical="center"/>
    </xf>
    <xf numFmtId="9" fontId="6" fillId="0" borderId="53" xfId="57" applyFont="1" applyFill="1" applyBorder="1" applyAlignment="1">
      <alignment vertical="center"/>
    </xf>
    <xf numFmtId="9" fontId="5" fillId="33" borderId="14" xfId="57" applyFont="1" applyFill="1" applyBorder="1" applyAlignment="1">
      <alignment/>
    </xf>
    <xf numFmtId="9" fontId="5" fillId="0" borderId="38" xfId="57" applyFont="1" applyFill="1" applyBorder="1" applyAlignment="1">
      <alignment vertical="center"/>
    </xf>
    <xf numFmtId="9" fontId="5" fillId="0" borderId="37" xfId="57" applyFont="1" applyFill="1" applyBorder="1" applyAlignment="1">
      <alignment vertical="center"/>
    </xf>
    <xf numFmtId="9" fontId="5" fillId="33" borderId="14" xfId="57" applyFont="1" applyFill="1" applyBorder="1" applyAlignment="1">
      <alignment horizontal="center" vertical="center"/>
    </xf>
    <xf numFmtId="9" fontId="5" fillId="33" borderId="48" xfId="57" applyFont="1" applyFill="1" applyBorder="1" applyAlignment="1">
      <alignment horizontal="center" vertical="center"/>
    </xf>
    <xf numFmtId="9" fontId="5" fillId="0" borderId="54" xfId="57" applyFont="1" applyFill="1" applyBorder="1" applyAlignment="1">
      <alignment vertical="center"/>
    </xf>
    <xf numFmtId="9" fontId="6" fillId="0" borderId="55" xfId="57" applyFont="1" applyFill="1" applyBorder="1" applyAlignment="1">
      <alignment vertical="center"/>
    </xf>
    <xf numFmtId="9" fontId="5" fillId="0" borderId="56" xfId="57" applyFont="1" applyFill="1" applyBorder="1" applyAlignment="1">
      <alignment vertical="center"/>
    </xf>
    <xf numFmtId="0" fontId="5" fillId="0" borderId="14" xfId="0" applyFont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49" fontId="56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/>
    </xf>
    <xf numFmtId="177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/>
    </xf>
    <xf numFmtId="0" fontId="5" fillId="33" borderId="27" xfId="0" applyFont="1" applyFill="1" applyBorder="1" applyAlignment="1">
      <alignment/>
    </xf>
    <xf numFmtId="4" fontId="6" fillId="0" borderId="53" xfId="0" applyNumberFormat="1" applyFont="1" applyFill="1" applyBorder="1" applyAlignment="1">
      <alignment vertical="center"/>
    </xf>
    <xf numFmtId="0" fontId="5" fillId="0" borderId="48" xfId="0" applyFont="1" applyBorder="1" applyAlignment="1">
      <alignment vertical="center" wrapText="1"/>
    </xf>
    <xf numFmtId="0" fontId="5" fillId="33" borderId="57" xfId="0" applyFont="1" applyFill="1" applyBorder="1" applyAlignment="1">
      <alignment/>
    </xf>
    <xf numFmtId="4" fontId="5" fillId="33" borderId="58" xfId="0" applyNumberFormat="1" applyFont="1" applyFill="1" applyBorder="1" applyAlignment="1">
      <alignment vertical="center"/>
    </xf>
    <xf numFmtId="4" fontId="5" fillId="33" borderId="47" xfId="0" applyNumberFormat="1" applyFont="1" applyFill="1" applyBorder="1" applyAlignment="1">
      <alignment vertical="center"/>
    </xf>
    <xf numFmtId="9" fontId="5" fillId="0" borderId="59" xfId="57" applyFont="1" applyFill="1" applyBorder="1" applyAlignment="1">
      <alignment vertical="center"/>
    </xf>
    <xf numFmtId="9" fontId="5" fillId="0" borderId="58" xfId="57" applyFont="1" applyFill="1" applyBorder="1" applyAlignment="1">
      <alignment vertical="center"/>
    </xf>
    <xf numFmtId="9" fontId="5" fillId="0" borderId="60" xfId="57" applyFont="1" applyFill="1" applyBorder="1" applyAlignment="1">
      <alignment vertical="center"/>
    </xf>
    <xf numFmtId="9" fontId="6" fillId="0" borderId="61" xfId="57" applyFont="1" applyFill="1" applyBorder="1" applyAlignment="1">
      <alignment vertical="center"/>
    </xf>
    <xf numFmtId="9" fontId="6" fillId="0" borderId="62" xfId="57" applyFont="1" applyFill="1" applyBorder="1" applyAlignment="1">
      <alignment vertical="center"/>
    </xf>
    <xf numFmtId="9" fontId="6" fillId="0" borderId="63" xfId="57" applyFont="1" applyFill="1" applyBorder="1" applyAlignment="1">
      <alignment vertical="center"/>
    </xf>
    <xf numFmtId="0" fontId="58" fillId="0" borderId="0" xfId="0" applyFont="1" applyFill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vertical="center" wrapText="1"/>
    </xf>
    <xf numFmtId="179" fontId="62" fillId="0" borderId="0" xfId="0" applyNumberFormat="1" applyFont="1" applyFill="1" applyBorder="1" applyAlignment="1">
      <alignment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11" fillId="0" borderId="2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11" fillId="0" borderId="42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0" fillId="0" borderId="14" xfId="0" applyFont="1" applyFill="1" applyBorder="1" applyAlignment="1">
      <alignment vertical="center" wrapText="1"/>
    </xf>
    <xf numFmtId="3" fontId="13" fillId="33" borderId="13" xfId="0" applyNumberFormat="1" applyFont="1" applyFill="1" applyBorder="1" applyAlignment="1">
      <alignment vertical="center"/>
    </xf>
    <xf numFmtId="4" fontId="10" fillId="0" borderId="45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9" fontId="10" fillId="0" borderId="0" xfId="57" applyFont="1" applyFill="1" applyBorder="1" applyAlignment="1">
      <alignment vertical="center"/>
    </xf>
    <xf numFmtId="9" fontId="13" fillId="0" borderId="0" xfId="57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4" fillId="0" borderId="28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1" fillId="0" borderId="14" xfId="0" applyFont="1" applyFill="1" applyBorder="1" applyAlignment="1">
      <alignment wrapText="1"/>
    </xf>
    <xf numFmtId="0" fontId="62" fillId="34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4" fillId="0" borderId="42" xfId="0" applyFont="1" applyFill="1" applyBorder="1" applyAlignment="1">
      <alignment vertical="center" wrapText="1"/>
    </xf>
    <xf numFmtId="3" fontId="62" fillId="0" borderId="35" xfId="0" applyNumberFormat="1" applyFont="1" applyFill="1" applyBorder="1" applyAlignment="1">
      <alignment vertical="center"/>
    </xf>
    <xf numFmtId="3" fontId="62" fillId="0" borderId="36" xfId="0" applyNumberFormat="1" applyFont="1" applyFill="1" applyBorder="1" applyAlignment="1">
      <alignment vertical="center"/>
    </xf>
    <xf numFmtId="3" fontId="62" fillId="0" borderId="34" xfId="0" applyNumberFormat="1" applyFont="1" applyFill="1" applyBorder="1" applyAlignment="1">
      <alignment vertical="center"/>
    </xf>
    <xf numFmtId="3" fontId="62" fillId="0" borderId="14" xfId="0" applyNumberFormat="1" applyFont="1" applyFill="1" applyBorder="1" applyAlignment="1">
      <alignment vertical="center"/>
    </xf>
    <xf numFmtId="3" fontId="62" fillId="0" borderId="38" xfId="0" applyNumberFormat="1" applyFont="1" applyFill="1" applyBorder="1" applyAlignment="1">
      <alignment vertical="center"/>
    </xf>
    <xf numFmtId="3" fontId="62" fillId="0" borderId="37" xfId="0" applyNumberFormat="1" applyFont="1" applyFill="1" applyBorder="1" applyAlignment="1">
      <alignment vertical="center"/>
    </xf>
    <xf numFmtId="3" fontId="62" fillId="33" borderId="35" xfId="0" applyNumberFormat="1" applyFont="1" applyFill="1" applyBorder="1" applyAlignment="1">
      <alignment vertical="center"/>
    </xf>
    <xf numFmtId="4" fontId="59" fillId="33" borderId="35" xfId="0" applyNumberFormat="1" applyFont="1" applyFill="1" applyBorder="1" applyAlignment="1">
      <alignment vertical="center"/>
    </xf>
    <xf numFmtId="4" fontId="59" fillId="0" borderId="36" xfId="0" applyNumberFormat="1" applyFont="1" applyFill="1" applyBorder="1" applyAlignment="1">
      <alignment vertical="center"/>
    </xf>
    <xf numFmtId="4" fontId="59" fillId="0" borderId="14" xfId="0" applyNumberFormat="1" applyFont="1" applyFill="1" applyBorder="1" applyAlignment="1">
      <alignment vertical="center"/>
    </xf>
    <xf numFmtId="179" fontId="59" fillId="33" borderId="28" xfId="0" applyNumberFormat="1" applyFont="1" applyFill="1" applyBorder="1" applyAlignment="1">
      <alignment vertical="center"/>
    </xf>
    <xf numFmtId="179" fontId="59" fillId="0" borderId="32" xfId="0" applyNumberFormat="1" applyFont="1" applyFill="1" applyBorder="1" applyAlignment="1">
      <alignment vertical="center"/>
    </xf>
    <xf numFmtId="179" fontId="59" fillId="0" borderId="53" xfId="0" applyNumberFormat="1" applyFont="1" applyFill="1" applyBorder="1" applyAlignment="1">
      <alignment vertical="center"/>
    </xf>
    <xf numFmtId="4" fontId="62" fillId="33" borderId="14" xfId="0" applyNumberFormat="1" applyFont="1" applyFill="1" applyBorder="1" applyAlignment="1">
      <alignment/>
    </xf>
    <xf numFmtId="179" fontId="62" fillId="0" borderId="38" xfId="0" applyNumberFormat="1" applyFont="1" applyFill="1" applyBorder="1" applyAlignment="1">
      <alignment vertical="center"/>
    </xf>
    <xf numFmtId="179" fontId="62" fillId="0" borderId="37" xfId="0" applyNumberFormat="1" applyFont="1" applyFill="1" applyBorder="1" applyAlignment="1">
      <alignment vertical="center"/>
    </xf>
    <xf numFmtId="179" fontId="62" fillId="33" borderId="14" xfId="0" applyNumberFormat="1" applyFont="1" applyFill="1" applyBorder="1" applyAlignment="1">
      <alignment horizontal="center" vertical="center"/>
    </xf>
    <xf numFmtId="179" fontId="62" fillId="33" borderId="48" xfId="0" applyNumberFormat="1" applyFont="1" applyFill="1" applyBorder="1" applyAlignment="1">
      <alignment horizontal="center" vertical="center"/>
    </xf>
    <xf numFmtId="179" fontId="62" fillId="0" borderId="54" xfId="0" applyNumberFormat="1" applyFont="1" applyFill="1" applyBorder="1" applyAlignment="1">
      <alignment vertical="center"/>
    </xf>
    <xf numFmtId="179" fontId="62" fillId="0" borderId="47" xfId="0" applyNumberFormat="1" applyFont="1" applyFill="1" applyBorder="1" applyAlignment="1">
      <alignment vertical="center"/>
    </xf>
    <xf numFmtId="0" fontId="62" fillId="33" borderId="49" xfId="0" applyFont="1" applyFill="1" applyBorder="1" applyAlignment="1">
      <alignment/>
    </xf>
    <xf numFmtId="4" fontId="62" fillId="33" borderId="50" xfId="0" applyNumberFormat="1" applyFont="1" applyFill="1" applyBorder="1" applyAlignment="1">
      <alignment vertical="center"/>
    </xf>
    <xf numFmtId="4" fontId="62" fillId="33" borderId="51" xfId="0" applyNumberFormat="1" applyFont="1" applyFill="1" applyBorder="1" applyAlignment="1">
      <alignment vertical="center"/>
    </xf>
    <xf numFmtId="4" fontId="59" fillId="0" borderId="42" xfId="0" applyNumberFormat="1" applyFont="1" applyFill="1" applyBorder="1" applyAlignment="1">
      <alignment vertical="center"/>
    </xf>
    <xf numFmtId="4" fontId="59" fillId="0" borderId="50" xfId="0" applyNumberFormat="1" applyFont="1" applyFill="1" applyBorder="1" applyAlignment="1">
      <alignment vertical="center"/>
    </xf>
    <xf numFmtId="4" fontId="59" fillId="0" borderId="51" xfId="0" applyNumberFormat="1" applyFont="1" applyFill="1" applyBorder="1" applyAlignment="1">
      <alignment vertical="center"/>
    </xf>
    <xf numFmtId="0" fontId="62" fillId="33" borderId="33" xfId="0" applyFont="1" applyFill="1" applyBorder="1" applyAlignment="1">
      <alignment/>
    </xf>
    <xf numFmtId="4" fontId="59" fillId="0" borderId="37" xfId="0" applyNumberFormat="1" applyFont="1" applyFill="1" applyBorder="1" applyAlignment="1">
      <alignment vertical="center"/>
    </xf>
    <xf numFmtId="0" fontId="62" fillId="33" borderId="57" xfId="0" applyFont="1" applyFill="1" applyBorder="1" applyAlignment="1">
      <alignment/>
    </xf>
    <xf numFmtId="4" fontId="62" fillId="33" borderId="58" xfId="0" applyNumberFormat="1" applyFont="1" applyFill="1" applyBorder="1" applyAlignment="1">
      <alignment vertical="center"/>
    </xf>
    <xf numFmtId="4" fontId="62" fillId="33" borderId="47" xfId="0" applyNumberFormat="1" applyFont="1" applyFill="1" applyBorder="1" applyAlignment="1">
      <alignment vertical="center"/>
    </xf>
    <xf numFmtId="3" fontId="6" fillId="33" borderId="35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3" fontId="6" fillId="35" borderId="13" xfId="0" applyNumberFormat="1" applyFont="1" applyFill="1" applyBorder="1" applyAlignment="1">
      <alignment vertical="center"/>
    </xf>
    <xf numFmtId="4" fontId="5" fillId="35" borderId="45" xfId="0" applyNumberFormat="1" applyFont="1" applyFill="1" applyBorder="1" applyAlignment="1">
      <alignment vertical="center"/>
    </xf>
    <xf numFmtId="4" fontId="5" fillId="35" borderId="11" xfId="0" applyNumberFormat="1" applyFont="1" applyFill="1" applyBorder="1" applyAlignment="1">
      <alignment vertical="center"/>
    </xf>
    <xf numFmtId="4" fontId="5" fillId="35" borderId="0" xfId="0" applyNumberFormat="1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vertical="center"/>
    </xf>
    <xf numFmtId="4" fontId="5" fillId="35" borderId="10" xfId="0" applyNumberFormat="1" applyFont="1" applyFill="1" applyBorder="1" applyAlignment="1">
      <alignment vertical="center"/>
    </xf>
    <xf numFmtId="9" fontId="5" fillId="0" borderId="0" xfId="57" applyFont="1" applyFill="1" applyBorder="1" applyAlignment="1">
      <alignment vertical="center"/>
    </xf>
    <xf numFmtId="9" fontId="6" fillId="0" borderId="0" xfId="57" applyFont="1" applyFill="1" applyBorder="1" applyAlignment="1">
      <alignment vertical="center"/>
    </xf>
    <xf numFmtId="194" fontId="5" fillId="0" borderId="36" xfId="57" applyNumberFormat="1" applyFont="1" applyFill="1" applyBorder="1" applyAlignment="1">
      <alignment vertical="center"/>
    </xf>
    <xf numFmtId="194" fontId="5" fillId="0" borderId="34" xfId="57" applyNumberFormat="1" applyFont="1" applyFill="1" applyBorder="1" applyAlignment="1">
      <alignment vertical="center"/>
    </xf>
    <xf numFmtId="195" fontId="5" fillId="0" borderId="34" xfId="57" applyNumberFormat="1" applyFont="1" applyFill="1" applyBorder="1" applyAlignment="1">
      <alignment vertical="center"/>
    </xf>
    <xf numFmtId="194" fontId="5" fillId="0" borderId="58" xfId="57" applyNumberFormat="1" applyFont="1" applyFill="1" applyBorder="1" applyAlignment="1">
      <alignment vertical="center"/>
    </xf>
    <xf numFmtId="194" fontId="5" fillId="0" borderId="60" xfId="57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9" fontId="6" fillId="0" borderId="56" xfId="57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/>
    </xf>
    <xf numFmtId="0" fontId="61" fillId="0" borderId="14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2" fillId="33" borderId="43" xfId="0" applyFont="1" applyFill="1" applyBorder="1" applyAlignment="1">
      <alignment/>
    </xf>
    <xf numFmtId="4" fontId="59" fillId="0" borderId="40" xfId="0" applyNumberFormat="1" applyFont="1" applyFill="1" applyBorder="1" applyAlignment="1">
      <alignment vertical="center"/>
    </xf>
    <xf numFmtId="4" fontId="59" fillId="0" borderId="65" xfId="0" applyNumberFormat="1" applyFont="1" applyFill="1" applyBorder="1" applyAlignment="1">
      <alignment vertical="center"/>
    </xf>
    <xf numFmtId="4" fontId="59" fillId="0" borderId="15" xfId="0" applyNumberFormat="1" applyFont="1" applyFill="1" applyBorder="1" applyAlignment="1">
      <alignment vertical="center"/>
    </xf>
    <xf numFmtId="4" fontId="59" fillId="0" borderId="41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wrapText="1"/>
    </xf>
    <xf numFmtId="9" fontId="5" fillId="0" borderId="47" xfId="57" applyFont="1" applyFill="1" applyBorder="1" applyAlignment="1">
      <alignment vertical="center"/>
    </xf>
    <xf numFmtId="0" fontId="61" fillId="0" borderId="48" xfId="0" applyFont="1" applyFill="1" applyBorder="1" applyAlignment="1">
      <alignment vertical="center" wrapText="1"/>
    </xf>
    <xf numFmtId="3" fontId="56" fillId="0" borderId="0" xfId="0" applyNumberFormat="1" applyFont="1" applyFill="1" applyBorder="1" applyAlignment="1">
      <alignment horizontal="center"/>
    </xf>
    <xf numFmtId="9" fontId="5" fillId="0" borderId="0" xfId="57" applyFont="1" applyFill="1" applyBorder="1" applyAlignment="1">
      <alignment horizontal="center" vertical="center"/>
    </xf>
    <xf numFmtId="1" fontId="56" fillId="33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6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 vertical="center"/>
    </xf>
    <xf numFmtId="0" fontId="5" fillId="34" borderId="14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9" fontId="10" fillId="0" borderId="0" xfId="57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center"/>
    </xf>
    <xf numFmtId="0" fontId="5" fillId="34" borderId="42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2" fontId="5" fillId="33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17&#1075;\7%20&#1074;&#1072;&#1088;&#1080;&#1072;&#1085;&#1090;%2031.03.17&#1075;%20&#1055;&#1069;-5%20&#1089;%20&#1082;&#1086;&#1088;&#1088;&#1077;&#1082;&#1090;&#1080;&#1088;\&#1048;&#1089;&#1087;&#1086;&#1083;&#1085;&#1077;&#1085;&#1080;&#1077;%20&#1073;&#1102;&#1076;&#1078;&#1077;&#1090;&#1072;%20&#1079;&#1072;%202017%20&#1075;&#1086;&#1076;\&#1060;&#1072;&#1082;&#1090;%20&#1076;&#1086;&#1093;&#1086;&#1076;&#1099;%20&#1080;%20&#1088;&#1072;&#1089;&#1093;&#1086;&#1076;&#1099;%20&#1087;&#1086;%20&#1090;&#1077;&#1087;&#1083;&#1091;%20&#1079;&#1072;%202017%20&#1075;&#1086;&#1076;%20&#1089;%2001.04.17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marovaAK\AppData\Local\Microsoft\Windows\INetCache\Content.Outlook\ZB8NA3BS\&#1048;&#1085;&#1092;&#1086;&#1088;&#1084;&#1072;&#1094;&#1080;&#1103;%20&#1087;&#1086;%20&#1054;&#1057;%20&#1080;%20&#1053;&#1052;&#1040;%20&#1085;&#1072;%2031.12.19&#1075;_%20%2007.04.20&#1075;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18&#1075;\1%20&#1074;&#1072;&#1088;&#1080;&#1072;&#1085;&#1090;%2001.10.18&#1075;%20&#8212;%20&#1082;&#1086;&#1087;&#1080;&#1103;%20&#1089;%20&#1087;&#1077;&#1088;&#1077;&#1089;&#1095;.&#1090;&#1072;&#1088;&#1080;&#1092;&#1086;&#1084;%20&#1087;&#1086;%20&#1101;&#1101;\&#1048;&#1089;&#1087;&#1086;&#1083;&#1085;&#1077;&#1085;&#1080;&#1077;%20&#1073;&#1102;&#1076;&#1078;&#1077;&#1090;&#1072;%20&#1079;&#1072;%202018%20&#1075;&#1086;&#1076;\&#1060;&#1072;&#1082;&#1090;%20&#1076;&#1086;&#1093;&#1086;&#1076;&#1099;%20&#1080;%20&#1088;&#1072;&#1089;&#1093;&#1086;&#1076;&#1099;%20&#1087;&#1086;%20&#1090;&#1077;&#1087;&#1083;&#1091;%20&#1079;&#1072;%202018%20&#1075;&#1086;&#1076;%20&#1089;%2001.05.2018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8;&#1057;&#1055;&#1054;&#1051;&#1053;&#1045;&#1053;&#1048;&#1045;%20&#1058;&#1040;&#1056;&#1048;&#1060;&#1053;&#1054;&#1049;%20&#1057;&#1052;&#1045;&#1058;&#1067;\2018&#1075;&#1086;&#1076;\&#1048;&#1089;&#1087;&#1086;&#1083;.&#1090;&#1072;&#1088;&#1080;&#1092;%20&#1089;&#1084;&#1077;&#1090;&#1099;%20&#1079;&#1072;%202018%20&#1075;.&#1055;&#1072;&#1074;&#1083;&#1086;&#1076;&#1072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7;&#1074;&#1077;&#1076;&#1077;&#1085;&#1080;&#1103;%20&#1086;%20&#1076;&#1086;&#1093;&#1086;&#1076;&#1072;&#1093;%20&#1088;&#1072;&#1089;&#1093;&#1086;&#1076;&#1072;&#1093;\2018&#1075;\&#1044;&#1054;&#1061;&#1054;&#1044;&#1067;%20&#1048;%20&#1056;&#1040;&#1057;&#1061;&#1054;&#1044;&#1067;%20&#1047;&#1040;%202018%20&#1043;&#1054;&#1044;.%20&#1088;&#1072;&#1089;&#1096;&#1080;&#1088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4;&#1048;&#1060;-&#1058;&#1040;&#1056;&#1048;&#1060;&#1067;\2018%20&#1075;&#1086;&#1076;\&#1040;&#1085;&#1072;&#1083;&#1080;&#1079;.&#1087;&#1086;%20&#1076;&#1080;&#1092;.&#1090;&#1072;&#1088;&#1080;&#1092;&#1072;&#1084;%20&#1087;&#1086;%20&#1058;&#1069;&#1062;&#1072;&#1084;%20&#1079;&#1072;%202018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marovaAK\AppData\Local\Microsoft\Windows\INetCache\Content.Outlook\ZB8NA3BS\&#1048;&#1085;&#1092;&#1086;&#1088;&#1084;&#1072;&#1094;&#1080;&#1103;%20&#1087;&#1086;%20&#1054;&#1057;%20&#1080;%20&#1053;&#1052;&#1040;%20&#1085;&#1072;%2031.12.18&#1075;_%20%2009.04.19&#1075;.%20&#1087;&#1086;&#1089;&#1083;&#1077;%20&#1087;&#1077;&#1088;&#1077;&#1086;&#1094;&#1077;&#1085;&#1082;&#1080;%20&#1041;&#1088;&#1072;&#1090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8;&#1077;&#1087;&#1083;&#1086;&#1101;&#1085;&#1077;&#1088;&#1075;&#1080;&#1103;\&#1050;&#1086;&#1088;&#1088;&#1077;&#1082;&#1090;&#1080;&#1088;&#1086;&#1074;&#1082;&#1080;%20&#1058;&#1057;\&#1050;&#1086;&#1088;&#1088;&#1077;&#1082;&#1090;&#1080;&#1088;&#1086;&#1074;&#1082;&#1072;%20&#1090;&#1072;&#1088;.&#1089;&#1084;&#1077;&#1090;%202019&#1075;\&#1075;.&#1055;&#1072;&#1074;&#1083;&#1086;&#1076;&#1072;&#1088;\&#1087;&#1088;&#1086;&#1077;&#1082;&#1090;%20&#1090;&#1072;&#1088;.&#1089;&#1084;&#1077;&#1090;%20&#1085;&#1072;%202019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8;&#1057;&#1055;&#1054;&#1051;&#1053;&#1045;&#1053;&#1048;&#1045;%20&#1058;&#1040;&#1056;&#1048;&#1060;&#1053;&#1054;&#1049;%20&#1057;&#1052;&#1045;&#1058;&#1067;\2019%20&#1075;&#1086;&#1076;\&#1048;&#1089;&#1087;&#1086;&#1083;.&#1090;&#1072;&#1088;&#1080;&#1092;%20&#1089;&#1084;&#1077;&#1090;&#1099;%20&#1079;&#1072;%202019%20&#1075;.&#1055;&#1072;&#1074;&#1083;&#1086;&#1076;&#1072;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44;&#1048;&#1060;-&#1058;&#1040;&#1056;&#1048;&#1060;&#1067;\2019%20&#1075;&#1086;&#1076;\&#1040;&#1085;&#1072;&#1083;&#1080;&#1079;.&#1087;&#1086;%20&#1076;&#1080;&#1092;.&#1090;&#1072;&#1088;&#1080;&#1092;&#1072;&#1084;%20&#1087;&#1086;%20&#1058;&#1069;&#1062;&#1072;&#1084;%20&#1079;&#1072;%202019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1"/>
      <sheetName val="г.Павлодар продолж. "/>
      <sheetName val="г.Экибастуз"/>
      <sheetName val="г.Экибастуз продолж."/>
      <sheetName val="янв-февр"/>
      <sheetName val="январь"/>
      <sheetName val="февр"/>
      <sheetName val="март"/>
    </sheetNames>
    <sheetDataSet>
      <sheetData sheetId="0">
        <row r="828">
          <cell r="EA82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С"/>
      <sheetName val="НМА"/>
      <sheetName val="1 полуг"/>
      <sheetName val="2полуг"/>
    </sheetNames>
    <sheetDataSet>
      <sheetData sheetId="0">
        <row r="25">
          <cell r="E25">
            <v>48066450.589169994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2018-1"/>
      <sheetName val="г.Экибастуз 2018-1"/>
      <sheetName val="г.Павлодар продолж. "/>
      <sheetName val="г.Экибастуз продолж."/>
    </sheetNames>
    <sheetDataSet>
      <sheetData sheetId="0">
        <row r="1006">
          <cell r="DV1006">
            <v>0</v>
          </cell>
        </row>
        <row r="1008">
          <cell r="DV1008">
            <v>0</v>
          </cell>
        </row>
      </sheetData>
      <sheetData sheetId="2">
        <row r="1507">
          <cell r="AA1507">
            <v>125.36500000000001</v>
          </cell>
        </row>
        <row r="1509">
          <cell r="AA1509">
            <v>544565.5016000001</v>
          </cell>
          <cell r="AF1509">
            <v>537607.7441</v>
          </cell>
        </row>
        <row r="1510">
          <cell r="AA1510">
            <v>4.459</v>
          </cell>
        </row>
        <row r="1512">
          <cell r="AA1512">
            <v>5612.45412</v>
          </cell>
          <cell r="AF1512">
            <v>5366.04978</v>
          </cell>
        </row>
        <row r="1513">
          <cell r="AA1513">
            <v>93.279</v>
          </cell>
        </row>
        <row r="1515">
          <cell r="AA1515">
            <v>396989.82726</v>
          </cell>
          <cell r="AF1515">
            <v>393430.99385999993</v>
          </cell>
        </row>
        <row r="1516">
          <cell r="AA1516">
            <v>3.2169999999999996</v>
          </cell>
        </row>
        <row r="1518">
          <cell r="AA1518">
            <v>3867.50957</v>
          </cell>
          <cell r="AF1518">
            <v>3716.64694</v>
          </cell>
        </row>
        <row r="1570">
          <cell r="AA1570">
            <v>1248.681654</v>
          </cell>
        </row>
        <row r="1571">
          <cell r="AO1571">
            <v>2284.3475196369022</v>
          </cell>
        </row>
        <row r="1572">
          <cell r="AA1572">
            <v>2635051.9096304695</v>
          </cell>
          <cell r="AF1572">
            <v>1796801.6518448703</v>
          </cell>
          <cell r="AG1572">
            <v>2182245.13291926</v>
          </cell>
        </row>
        <row r="1580">
          <cell r="AO1580">
            <v>2313.6214433949067</v>
          </cell>
        </row>
        <row r="1630">
          <cell r="AA1630">
            <v>323.15817000000004</v>
          </cell>
        </row>
        <row r="1632">
          <cell r="AA1632">
            <v>618614.96267638</v>
          </cell>
          <cell r="AF1632">
            <v>422519.78062198</v>
          </cell>
          <cell r="AG1632">
            <v>565698.6857815499</v>
          </cell>
        </row>
        <row r="1690">
          <cell r="AA1690">
            <v>599.6775120000001</v>
          </cell>
        </row>
        <row r="1691">
          <cell r="AO1691">
            <v>4731.124505101718</v>
          </cell>
        </row>
        <row r="1692">
          <cell r="AA1692">
            <v>2700383.40684843</v>
          </cell>
          <cell r="AF1692">
            <v>840918.40605501</v>
          </cell>
          <cell r="AG1692">
            <v>1047512.6960714102</v>
          </cell>
        </row>
        <row r="1709">
          <cell r="AM1709">
            <v>3411.890334988635</v>
          </cell>
          <cell r="AO1709">
            <v>4743.641087659885</v>
          </cell>
        </row>
        <row r="1780">
          <cell r="AA1780">
            <v>21.802131000000006</v>
          </cell>
        </row>
        <row r="1782">
          <cell r="AA1782">
            <v>95671.77138313002</v>
          </cell>
          <cell r="AF1782">
            <v>27164.551645819996</v>
          </cell>
          <cell r="AG1782">
            <v>38134.09421427</v>
          </cell>
        </row>
        <row r="1855">
          <cell r="AA1855">
            <v>278.775979</v>
          </cell>
        </row>
        <row r="1857">
          <cell r="AA1857">
            <v>1318447.2425321399</v>
          </cell>
          <cell r="AF1857">
            <v>380442.92494940996</v>
          </cell>
          <cell r="AG1857">
            <v>487231.6870607901</v>
          </cell>
        </row>
        <row r="1936">
          <cell r="AA1936">
            <v>17.143579000000003</v>
          </cell>
        </row>
        <row r="1938">
          <cell r="AA1938">
            <v>80040.23497462999</v>
          </cell>
          <cell r="AF1938">
            <v>20558.294310079997</v>
          </cell>
          <cell r="AG1938">
            <v>30002.881039100004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тар.сметы-правда "/>
      <sheetName val="коррек"/>
      <sheetName val="расшифровка"/>
      <sheetName val="коррект статей"/>
      <sheetName val="12 мес"/>
      <sheetName val="аморт"/>
      <sheetName val="Лист1"/>
      <sheetName val="Лист2"/>
      <sheetName val="для Аргинова"/>
    </sheetNames>
    <sheetDataSet>
      <sheetData sheetId="0">
        <row r="22">
          <cell r="DA22">
            <v>4783.723171540077</v>
          </cell>
        </row>
        <row r="23">
          <cell r="DA23">
            <v>36.70537221</v>
          </cell>
        </row>
        <row r="26">
          <cell r="DA26">
            <v>141973.8194454888</v>
          </cell>
        </row>
        <row r="27">
          <cell r="DA27">
            <v>13731.286647671208</v>
          </cell>
        </row>
        <row r="28">
          <cell r="DA28">
            <v>6195.754852148577</v>
          </cell>
        </row>
        <row r="31">
          <cell r="DA31">
            <v>9308.821178189999</v>
          </cell>
        </row>
        <row r="32">
          <cell r="DA32">
            <v>530.8874789399999</v>
          </cell>
        </row>
        <row r="35">
          <cell r="DA35">
            <v>171.33820704</v>
          </cell>
        </row>
        <row r="36">
          <cell r="DA36">
            <v>2413.1090225432627</v>
          </cell>
        </row>
        <row r="37">
          <cell r="DA37">
            <v>1872.6407930945002</v>
          </cell>
        </row>
        <row r="38">
          <cell r="DA38">
            <v>7030.6511595988195</v>
          </cell>
        </row>
        <row r="39">
          <cell r="DA39">
            <v>4907.199527692021</v>
          </cell>
        </row>
        <row r="42">
          <cell r="DA42">
            <v>10.440389699999999</v>
          </cell>
        </row>
        <row r="43">
          <cell r="DA43">
            <v>152.85262005</v>
          </cell>
        </row>
        <row r="44">
          <cell r="DA44">
            <v>591</v>
          </cell>
        </row>
        <row r="45">
          <cell r="DA45">
            <v>8381.055430799997</v>
          </cell>
        </row>
        <row r="46">
          <cell r="DA46">
            <v>346.39015151999996</v>
          </cell>
        </row>
        <row r="47">
          <cell r="DA47">
            <v>808.23770001</v>
          </cell>
        </row>
        <row r="48">
          <cell r="DA48">
            <v>343.3557324599999</v>
          </cell>
        </row>
        <row r="49">
          <cell r="DA49">
            <v>215.88767597000003</v>
          </cell>
        </row>
        <row r="50">
          <cell r="DA50">
            <v>803.65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лектро2"/>
      <sheetName val="январь 18г."/>
      <sheetName val="февраль 18г."/>
      <sheetName val="2 мес"/>
      <sheetName val="март 18г."/>
      <sheetName val="1 кв 18г."/>
      <sheetName val="апрель"/>
      <sheetName val="4 мес "/>
      <sheetName val="май"/>
      <sheetName val="5 мес"/>
      <sheetName val="июнь"/>
      <sheetName val="6 мес"/>
      <sheetName val="июль"/>
      <sheetName val="7 мес"/>
      <sheetName val="август"/>
      <sheetName val="8 мес"/>
      <sheetName val="сентябрь"/>
      <sheetName val="9 мес"/>
      <sheetName val="октябрь"/>
      <sheetName val="10 мес"/>
      <sheetName val="ноябрь"/>
      <sheetName val="11 мес"/>
      <sheetName val="декабрь"/>
      <sheetName val="12 мес"/>
    </sheetNames>
    <sheetDataSet>
      <sheetData sheetId="23">
        <row r="270">
          <cell r="E270">
            <v>363.9318899999999</v>
          </cell>
          <cell r="F270">
            <v>1854.1271384999998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2018 год"/>
      <sheetName val="г.Экибастуз 2018 год"/>
      <sheetName val="г.Павлодар"/>
      <sheetName val="г.Экибастуз (2)"/>
      <sheetName val="г.Павлодар (2)"/>
      <sheetName val="г.Павлодар (3)"/>
    </sheetNames>
    <sheetDataSet>
      <sheetData sheetId="0">
        <row r="14">
          <cell r="CU14">
            <v>1882.85254862306</v>
          </cell>
        </row>
        <row r="110">
          <cell r="CU110">
            <v>1156.631872415923</v>
          </cell>
        </row>
        <row r="179">
          <cell r="CU179">
            <v>2744.7392578474787</v>
          </cell>
        </row>
        <row r="257">
          <cell r="CU257">
            <v>2445.2984685301058</v>
          </cell>
        </row>
        <row r="347">
          <cell r="CU347">
            <v>4427.529659627046</v>
          </cell>
        </row>
        <row r="447">
          <cell r="CU447">
            <v>4596.243449272329</v>
          </cell>
        </row>
        <row r="534">
          <cell r="CU534">
            <v>7116.079621570126</v>
          </cell>
        </row>
        <row r="621">
          <cell r="CU621">
            <v>7109.15933843118</v>
          </cell>
        </row>
        <row r="711">
          <cell r="CU711">
            <v>4320.547383547688</v>
          </cell>
        </row>
        <row r="895">
          <cell r="CU895">
            <v>7177.517336285044</v>
          </cell>
        </row>
        <row r="982">
          <cell r="CU982">
            <v>6976.062811485153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С"/>
      <sheetName val="НМА"/>
      <sheetName val="1 полуг"/>
      <sheetName val="2 полуг"/>
    </sheetNames>
    <sheetDataSet>
      <sheetData sheetId="0">
        <row r="23">
          <cell r="E23">
            <v>53424488.96928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с коррет АМК г.Пав2019 "/>
      <sheetName val="Проект тарифн.смета"/>
    </sheetNames>
    <sheetDataSet>
      <sheetData sheetId="0"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</sheetData>
      <sheetData sheetId="1">
        <row r="17">
          <cell r="E17">
            <v>3010534</v>
          </cell>
          <cell r="F17">
            <v>571589</v>
          </cell>
        </row>
        <row r="19">
          <cell r="G19">
            <v>55623</v>
          </cell>
          <cell r="H19">
            <v>1012356</v>
          </cell>
        </row>
        <row r="20">
          <cell r="E20">
            <v>3571640</v>
          </cell>
          <cell r="F20">
            <v>679163</v>
          </cell>
        </row>
        <row r="25">
          <cell r="E25">
            <v>3767.369519832985</v>
          </cell>
          <cell r="F25">
            <v>713.9269311064718</v>
          </cell>
          <cell r="G25">
            <v>14.979937369519833</v>
          </cell>
          <cell r="H25">
            <v>419.6</v>
          </cell>
          <cell r="I25">
            <v>69</v>
          </cell>
        </row>
        <row r="26">
          <cell r="E26">
            <v>3.778705636743215</v>
          </cell>
          <cell r="F26">
            <v>0.7160751565762004</v>
          </cell>
          <cell r="G26">
            <v>0.014613778705636744</v>
          </cell>
          <cell r="H26">
            <v>0.1001503131524008</v>
          </cell>
          <cell r="I26">
            <v>0.05845511482254698</v>
          </cell>
        </row>
        <row r="29">
          <cell r="E29">
            <v>75170</v>
          </cell>
          <cell r="F29">
            <v>14290</v>
          </cell>
          <cell r="G29">
            <v>186</v>
          </cell>
          <cell r="H29">
            <v>8649</v>
          </cell>
          <cell r="I29">
            <v>1268</v>
          </cell>
        </row>
        <row r="30">
          <cell r="E30">
            <v>6427.284772243075</v>
          </cell>
          <cell r="F30">
            <v>1217.7467789388252</v>
          </cell>
          <cell r="G30">
            <v>25.445855737039665</v>
          </cell>
          <cell r="H30">
            <v>740.5998697372426</v>
          </cell>
          <cell r="I30">
            <v>101.91072334381657</v>
          </cell>
        </row>
        <row r="33">
          <cell r="E33">
            <v>1014.7152277569239</v>
          </cell>
          <cell r="F33">
            <v>192.2532210611748</v>
          </cell>
          <cell r="G33">
            <v>4.417294738703314</v>
          </cell>
          <cell r="H33">
            <v>116.53508527274215</v>
          </cell>
          <cell r="I33">
            <v>16.089276656183422</v>
          </cell>
        </row>
        <row r="34">
          <cell r="E34">
            <v>4855</v>
          </cell>
          <cell r="F34">
            <v>919</v>
          </cell>
          <cell r="G34">
            <v>19</v>
          </cell>
          <cell r="H34">
            <v>559</v>
          </cell>
          <cell r="I34">
            <v>78</v>
          </cell>
        </row>
        <row r="37">
          <cell r="E37">
            <v>5793</v>
          </cell>
          <cell r="F37">
            <v>1097</v>
          </cell>
          <cell r="G37">
            <v>23</v>
          </cell>
          <cell r="H37">
            <v>667</v>
          </cell>
          <cell r="I37">
            <v>92</v>
          </cell>
        </row>
        <row r="38">
          <cell r="E38">
            <v>358.6797583081571</v>
          </cell>
          <cell r="F38">
            <v>67.16314199395771</v>
          </cell>
          <cell r="G38">
            <v>1.4290030211480362</v>
          </cell>
          <cell r="H38">
            <v>39.600084592145016</v>
          </cell>
          <cell r="I38">
            <v>5.716012084592145</v>
          </cell>
        </row>
        <row r="41">
          <cell r="E41">
            <v>234.07712765957444</v>
          </cell>
          <cell r="F41">
            <v>44.66489361702128</v>
          </cell>
          <cell r="G41">
            <v>0.9271276595744681</v>
          </cell>
          <cell r="H41">
            <v>27.000212765957446</v>
          </cell>
          <cell r="I41">
            <v>4.13563829787234</v>
          </cell>
        </row>
        <row r="42">
          <cell r="E42">
            <v>1385</v>
          </cell>
          <cell r="F42">
            <v>263</v>
          </cell>
          <cell r="G42">
            <v>6</v>
          </cell>
          <cell r="H42">
            <v>160</v>
          </cell>
          <cell r="I42">
            <v>22</v>
          </cell>
        </row>
        <row r="43">
          <cell r="E43">
            <v>1304.7879234167895</v>
          </cell>
          <cell r="F43">
            <v>246.7142857142857</v>
          </cell>
          <cell r="G43">
            <v>5.399892488954344</v>
          </cell>
          <cell r="H43">
            <v>149.70032842415316</v>
          </cell>
          <cell r="I43">
            <v>20.347569955817377</v>
          </cell>
        </row>
        <row r="44">
          <cell r="E44">
            <v>3166.989143078713</v>
          </cell>
          <cell r="F44">
            <v>599.8898797983715</v>
          </cell>
          <cell r="G44">
            <v>12.900475765800698</v>
          </cell>
          <cell r="H44">
            <v>364.5999181853432</v>
          </cell>
          <cell r="I44">
            <v>50.42458317177201</v>
          </cell>
        </row>
        <row r="45">
          <cell r="E45">
            <v>2526</v>
          </cell>
          <cell r="F45">
            <v>479</v>
          </cell>
          <cell r="G45">
            <v>10</v>
          </cell>
          <cell r="H45">
            <v>291</v>
          </cell>
          <cell r="I45">
            <v>40</v>
          </cell>
        </row>
        <row r="46">
          <cell r="E46">
            <v>482.1129575113809</v>
          </cell>
          <cell r="F46">
            <v>90.74506828528074</v>
          </cell>
          <cell r="G46">
            <v>1.8000440060698029</v>
          </cell>
          <cell r="H46">
            <v>54.29975417298938</v>
          </cell>
          <cell r="I46">
            <v>8.276176024279211</v>
          </cell>
        </row>
        <row r="48">
          <cell r="E48">
            <v>4.421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E49">
            <v>87</v>
          </cell>
          <cell r="F49">
            <v>16</v>
          </cell>
          <cell r="G49">
            <v>0</v>
          </cell>
          <cell r="H49">
            <v>9.7</v>
          </cell>
          <cell r="I49">
            <v>2</v>
          </cell>
        </row>
        <row r="50">
          <cell r="E50">
            <v>390.6919575113809</v>
          </cell>
          <cell r="F50">
            <v>73.74506828528074</v>
          </cell>
          <cell r="G50">
            <v>1.8000440060698029</v>
          </cell>
          <cell r="H50">
            <v>44.59975417298938</v>
          </cell>
          <cell r="I50">
            <v>6.276176024279211</v>
          </cell>
        </row>
        <row r="51">
          <cell r="E51">
            <v>7315.205420520542</v>
          </cell>
          <cell r="F51">
            <v>1385.9292320929233</v>
          </cell>
          <cell r="G51">
            <v>29.40045751774575</v>
          </cell>
          <cell r="H51">
            <v>841.6000597978059</v>
          </cell>
          <cell r="I51">
            <v>116.709830070983</v>
          </cell>
        </row>
        <row r="52">
          <cell r="E52">
            <v>209.70621468926555</v>
          </cell>
          <cell r="F52">
            <v>39.12429378531073</v>
          </cell>
          <cell r="G52">
            <v>1.7999717514124294</v>
          </cell>
          <cell r="H52">
            <v>23.09957627118644</v>
          </cell>
          <cell r="I52">
            <v>3.1299435028248586</v>
          </cell>
        </row>
        <row r="53">
          <cell r="E53">
            <v>681</v>
          </cell>
          <cell r="F53">
            <v>113.5</v>
          </cell>
          <cell r="G53">
            <v>0.4</v>
          </cell>
          <cell r="H53">
            <v>113.5</v>
          </cell>
          <cell r="I53">
            <v>0</v>
          </cell>
        </row>
        <row r="54">
          <cell r="E54">
            <v>142.6206896551724</v>
          </cell>
          <cell r="F54">
            <v>25.93103448275862</v>
          </cell>
          <cell r="G54">
            <v>0</v>
          </cell>
          <cell r="H54">
            <v>16.09989655172414</v>
          </cell>
          <cell r="I54">
            <v>3.2413793103448274</v>
          </cell>
        </row>
        <row r="55">
          <cell r="E55">
            <v>66.34920634920636</v>
          </cell>
          <cell r="F55">
            <v>12.571428571428571</v>
          </cell>
          <cell r="G55">
            <v>0.3492063492063492</v>
          </cell>
          <cell r="H55">
            <v>7.682539682539682</v>
          </cell>
          <cell r="I55">
            <v>1.0476190476190474</v>
          </cell>
        </row>
        <row r="56">
          <cell r="E56">
            <v>437.00638569604087</v>
          </cell>
          <cell r="F56">
            <v>98.67688378033205</v>
          </cell>
          <cell r="G56">
            <v>1.4763729246487869</v>
          </cell>
          <cell r="H56">
            <v>34.19667943805875</v>
          </cell>
          <cell r="I56">
            <v>6.64367816091954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тар.сметы-правда "/>
      <sheetName val="расшифровка"/>
      <sheetName val="коррек"/>
      <sheetName val="январь"/>
      <sheetName val="февраль"/>
      <sheetName val="март"/>
      <sheetName val="апрель"/>
      <sheetName val="май"/>
      <sheetName val="июнь"/>
      <sheetName val="январь-декабрь"/>
    </sheetNames>
    <sheetDataSet>
      <sheetData sheetId="0">
        <row r="22">
          <cell r="DA22">
            <v>6383.858600004686</v>
          </cell>
        </row>
        <row r="23">
          <cell r="DA23">
            <v>8.100690389999999</v>
          </cell>
        </row>
        <row r="26">
          <cell r="DA26">
            <v>140356.97482333463</v>
          </cell>
        </row>
        <row r="27">
          <cell r="DA27">
            <v>10986.581061978775</v>
          </cell>
        </row>
        <row r="28">
          <cell r="DA28">
            <v>2161.1407151300004</v>
          </cell>
        </row>
        <row r="29">
          <cell r="DA29">
            <v>7379.0533131196935</v>
          </cell>
        </row>
        <row r="32">
          <cell r="DA32">
            <v>8390.762945099998</v>
          </cell>
        </row>
        <row r="33">
          <cell r="DA33">
            <v>1158.8861348999997</v>
          </cell>
        </row>
        <row r="36">
          <cell r="DA36">
            <v>326.51822033999997</v>
          </cell>
        </row>
        <row r="37">
          <cell r="DA37">
            <v>2540.601962662969</v>
          </cell>
        </row>
        <row r="38">
          <cell r="DA38">
            <v>2004.1974602268</v>
          </cell>
        </row>
        <row r="39">
          <cell r="DA39">
            <v>5173.281340822599</v>
          </cell>
        </row>
        <row r="40">
          <cell r="DA40">
            <v>4796.2616010659995</v>
          </cell>
        </row>
        <row r="43">
          <cell r="DA43">
            <v>7.938216000000001</v>
          </cell>
        </row>
        <row r="44">
          <cell r="DA44">
            <v>121.939506</v>
          </cell>
        </row>
        <row r="45">
          <cell r="DA45">
            <v>521.1565177218661</v>
          </cell>
        </row>
        <row r="46">
          <cell r="DA46">
            <v>14629.50571446</v>
          </cell>
        </row>
        <row r="47">
          <cell r="DA47">
            <v>400.27248833</v>
          </cell>
        </row>
        <row r="48">
          <cell r="DA48">
            <v>984.6389907899999</v>
          </cell>
        </row>
        <row r="49">
          <cell r="DA49">
            <v>306.7953723899999</v>
          </cell>
        </row>
        <row r="50">
          <cell r="DA50">
            <v>406.47996642</v>
          </cell>
        </row>
        <row r="51">
          <cell r="DA51">
            <v>899.7508938599999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2019 год"/>
      <sheetName val="г.Экибастуз 2019 год"/>
    </sheetNames>
    <sheetDataSet>
      <sheetData sheetId="0">
        <row r="14">
          <cell r="CU14">
            <v>1802.5693961872867</v>
          </cell>
        </row>
        <row r="137">
          <cell r="CU137">
            <v>1109.6162201000095</v>
          </cell>
        </row>
        <row r="233">
          <cell r="CU233">
            <v>2633.164366866959</v>
          </cell>
        </row>
        <row r="335">
          <cell r="CU335">
            <v>2344.8776605336857</v>
          </cell>
        </row>
        <row r="452">
          <cell r="CU452">
            <v>4498.776438816453</v>
          </cell>
        </row>
        <row r="563">
          <cell r="CU563">
            <v>4661.949009900688</v>
          </cell>
        </row>
        <row r="674">
          <cell r="CU674">
            <v>7178.967009968538</v>
          </cell>
        </row>
        <row r="788">
          <cell r="CU788">
            <v>7175.932085050037</v>
          </cell>
        </row>
        <row r="905">
          <cell r="CU905">
            <v>4390.2724152726505</v>
          </cell>
        </row>
        <row r="1032">
          <cell r="CU1032">
            <v>3504.9000590001388</v>
          </cell>
        </row>
        <row r="1143">
          <cell r="CU1143">
            <v>7175.411212530631</v>
          </cell>
        </row>
        <row r="1257">
          <cell r="CU1257">
            <v>7228.638573909378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119"/>
  <sheetViews>
    <sheetView tabSelected="1" view="pageBreakPreview" zoomScale="85" zoomScaleSheetLayoutView="85" workbookViewId="0" topLeftCell="A80">
      <selection activeCell="J67" sqref="J67"/>
    </sheetView>
  </sheetViews>
  <sheetFormatPr defaultColWidth="9.00390625" defaultRowHeight="12.75" outlineLevelRow="1"/>
  <cols>
    <col min="1" max="1" width="8.25390625" style="1" customWidth="1"/>
    <col min="2" max="2" width="58.875" style="1" customWidth="1"/>
    <col min="3" max="3" width="12.625" style="1" customWidth="1"/>
    <col min="4" max="4" width="12.75390625" style="1" bestFit="1" customWidth="1"/>
    <col min="5" max="6" width="10.375" style="1" bestFit="1" customWidth="1"/>
    <col min="7" max="7" width="11.375" style="1" customWidth="1"/>
    <col min="8" max="8" width="12.75390625" style="1" customWidth="1"/>
    <col min="9" max="9" width="14.00390625" style="1" bestFit="1" customWidth="1"/>
    <col min="10" max="10" width="12.75390625" style="1" customWidth="1"/>
    <col min="11" max="11" width="11.875" style="1" customWidth="1"/>
    <col min="12" max="12" width="11.25390625" style="1" customWidth="1"/>
    <col min="13" max="13" width="9.875" style="1" customWidth="1"/>
    <col min="14" max="14" width="10.75390625" style="1" customWidth="1"/>
    <col min="15" max="15" width="10.625" style="1" customWidth="1"/>
    <col min="16" max="16" width="10.125" style="1" customWidth="1"/>
    <col min="17" max="17" width="11.625" style="1" customWidth="1"/>
    <col min="18" max="18" width="10.375" style="1" customWidth="1"/>
    <col min="19" max="19" width="11.125" style="1" customWidth="1"/>
    <col min="20" max="20" width="10.25390625" style="1" customWidth="1"/>
    <col min="21" max="21" width="9.875" style="1" customWidth="1"/>
    <col min="22" max="22" width="28.875" style="225" customWidth="1"/>
    <col min="23" max="16384" width="9.125" style="1" customWidth="1"/>
  </cols>
  <sheetData>
    <row r="1" spans="1:22" ht="15.75">
      <c r="A1" s="13"/>
      <c r="B1" s="13"/>
      <c r="C1" s="13"/>
      <c r="D1" s="13"/>
      <c r="E1" s="14"/>
      <c r="F1" s="14"/>
      <c r="G1" s="14"/>
      <c r="H1" s="14"/>
      <c r="I1" s="14"/>
      <c r="Q1" s="387" t="s">
        <v>112</v>
      </c>
      <c r="R1" s="387"/>
      <c r="S1" s="387"/>
      <c r="T1" s="387"/>
      <c r="U1" s="387"/>
      <c r="V1" s="387"/>
    </row>
    <row r="2" spans="1:22" ht="15.75">
      <c r="A2" s="149"/>
      <c r="B2" s="149"/>
      <c r="C2" s="149"/>
      <c r="D2" s="149"/>
      <c r="Q2" s="388" t="s">
        <v>258</v>
      </c>
      <c r="R2" s="388"/>
      <c r="S2" s="388"/>
      <c r="T2" s="388"/>
      <c r="U2" s="388"/>
      <c r="V2" s="388"/>
    </row>
    <row r="3" spans="1:22" ht="15.75">
      <c r="A3" s="149"/>
      <c r="B3" s="149"/>
      <c r="C3" s="149"/>
      <c r="D3" s="149"/>
      <c r="Q3" s="389" t="s">
        <v>259</v>
      </c>
      <c r="R3" s="389"/>
      <c r="S3" s="389"/>
      <c r="T3" s="389"/>
      <c r="U3" s="389"/>
      <c r="V3" s="389"/>
    </row>
    <row r="4" spans="4:22" ht="15.75">
      <c r="D4" s="321"/>
      <c r="E4" s="321"/>
      <c r="F4" s="321"/>
      <c r="G4" s="321"/>
      <c r="H4" s="321"/>
      <c r="I4" s="321"/>
      <c r="Q4" s="388"/>
      <c r="R4" s="388"/>
      <c r="S4" s="388"/>
      <c r="T4" s="388"/>
      <c r="U4" s="388"/>
      <c r="V4" s="388"/>
    </row>
    <row r="5" spans="1:22" ht="15.75" outlineLevel="1">
      <c r="A5" s="322"/>
      <c r="B5" s="323"/>
      <c r="C5" s="324"/>
      <c r="D5" s="325"/>
      <c r="E5" s="325"/>
      <c r="F5" s="325"/>
      <c r="G5" s="325"/>
      <c r="H5" s="325"/>
      <c r="I5" s="325"/>
      <c r="P5" s="10"/>
      <c r="Q5" s="389"/>
      <c r="R5" s="389"/>
      <c r="S5" s="389"/>
      <c r="T5" s="389"/>
      <c r="U5" s="389"/>
      <c r="V5" s="389"/>
    </row>
    <row r="6" spans="1:22" ht="15.75" outlineLevel="1">
      <c r="A6" s="31"/>
      <c r="B6" s="386"/>
      <c r="C6" s="386"/>
      <c r="D6" s="386"/>
      <c r="E6" s="386"/>
      <c r="F6" s="386"/>
      <c r="G6" s="386"/>
      <c r="H6" s="10"/>
      <c r="I6" s="10"/>
      <c r="P6" s="10"/>
      <c r="Q6" s="389"/>
      <c r="R6" s="389"/>
      <c r="S6" s="389"/>
      <c r="T6" s="389"/>
      <c r="U6" s="389"/>
      <c r="V6" s="389"/>
    </row>
    <row r="7" spans="1:22" ht="15.75" customHeight="1" outlineLevel="1">
      <c r="A7" s="31"/>
      <c r="B7" s="31"/>
      <c r="C7" s="31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1"/>
      <c r="Q7" s="31"/>
      <c r="R7" s="31"/>
      <c r="S7" s="31"/>
      <c r="T7" s="31"/>
      <c r="U7" s="31"/>
      <c r="V7" s="220"/>
    </row>
    <row r="8" spans="1:22" ht="30.75" customHeight="1" outlineLevel="1">
      <c r="A8" s="322"/>
      <c r="B8" s="400" t="s">
        <v>121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31"/>
      <c r="Q8" s="31"/>
      <c r="R8" s="31"/>
      <c r="S8" s="31"/>
      <c r="T8" s="31"/>
      <c r="U8" s="31"/>
      <c r="V8" s="220"/>
    </row>
    <row r="9" spans="1:22" ht="22.5" customHeight="1" outlineLevel="1">
      <c r="A9" s="322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1"/>
      <c r="Q9" s="31"/>
      <c r="R9" s="31"/>
      <c r="S9" s="31"/>
      <c r="T9" s="31"/>
      <c r="U9" s="31"/>
      <c r="V9" s="220"/>
    </row>
    <row r="10" spans="1:22" ht="15.75" outlineLevel="1">
      <c r="A10" s="322"/>
      <c r="B10" s="328" t="s">
        <v>253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1"/>
      <c r="O10" s="31"/>
      <c r="P10" s="31"/>
      <c r="Q10" s="31"/>
      <c r="R10" s="31"/>
      <c r="S10" s="31"/>
      <c r="T10" s="31"/>
      <c r="U10" s="31"/>
      <c r="V10" s="220"/>
    </row>
    <row r="11" spans="1:22" ht="15.75" outlineLevel="1">
      <c r="A11" s="322"/>
      <c r="B11" s="328" t="s">
        <v>131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1"/>
      <c r="O11" s="31"/>
      <c r="P11" s="31"/>
      <c r="Q11" s="31"/>
      <c r="R11" s="31"/>
      <c r="S11" s="31"/>
      <c r="T11" s="31"/>
      <c r="U11" s="31"/>
      <c r="V11" s="220"/>
    </row>
    <row r="12" spans="1:22" ht="15.75" outlineLevel="1">
      <c r="A12" s="322"/>
      <c r="B12" s="328" t="s">
        <v>256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1"/>
      <c r="O12" s="31"/>
      <c r="P12" s="31"/>
      <c r="Q12" s="31"/>
      <c r="R12" s="31"/>
      <c r="S12" s="31"/>
      <c r="T12" s="31"/>
      <c r="U12" s="31"/>
      <c r="V12" s="220"/>
    </row>
    <row r="13" spans="1:22" ht="15.75" outlineLevel="1">
      <c r="A13" s="322"/>
      <c r="B13" s="328" t="s">
        <v>122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1"/>
      <c r="O13" s="31"/>
      <c r="P13" s="31"/>
      <c r="Q13" s="31"/>
      <c r="R13" s="31"/>
      <c r="S13" s="31"/>
      <c r="T13" s="31"/>
      <c r="U13" s="31"/>
      <c r="V13" s="220"/>
    </row>
    <row r="14" spans="1:22" ht="15.75" outlineLevel="1">
      <c r="A14" s="322"/>
      <c r="B14" s="328" t="s">
        <v>257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1"/>
      <c r="O14" s="31"/>
      <c r="P14" s="31"/>
      <c r="Q14" s="31"/>
      <c r="R14" s="31"/>
      <c r="S14" s="31"/>
      <c r="T14" s="31"/>
      <c r="U14" s="31"/>
      <c r="V14" s="220"/>
    </row>
    <row r="15" spans="1:22" ht="15.75" outlineLevel="1">
      <c r="A15" s="33"/>
      <c r="B15" s="10" t="s">
        <v>108</v>
      </c>
      <c r="C15" s="329"/>
      <c r="D15" s="31"/>
      <c r="E15" s="31"/>
      <c r="F15" s="10"/>
      <c r="G15" s="10"/>
      <c r="H15" s="10"/>
      <c r="I15" s="10"/>
      <c r="J15" s="10"/>
      <c r="K15" s="3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21"/>
    </row>
    <row r="16" spans="1:22" ht="19.5" customHeight="1" outlineLevel="1" thickBot="1">
      <c r="A16" s="33"/>
      <c r="B16" s="10"/>
      <c r="C16" s="329"/>
      <c r="D16" s="330"/>
      <c r="E16" s="330"/>
      <c r="F16" s="330"/>
      <c r="G16" s="330"/>
      <c r="H16" s="330"/>
      <c r="I16" s="330"/>
      <c r="J16" s="10"/>
      <c r="K16" s="31"/>
      <c r="L16" s="10"/>
      <c r="M16" s="10"/>
      <c r="N16" s="376"/>
      <c r="O16" s="376"/>
      <c r="P16" s="10"/>
      <c r="Q16" s="10"/>
      <c r="R16" s="10"/>
      <c r="S16" s="10"/>
      <c r="T16" s="10"/>
      <c r="U16" s="10"/>
      <c r="V16" s="221"/>
    </row>
    <row r="17" spans="1:22" ht="40.5" customHeight="1" thickBot="1">
      <c r="A17" s="365" t="s">
        <v>0</v>
      </c>
      <c r="B17" s="368" t="s">
        <v>107</v>
      </c>
      <c r="C17" s="371" t="s">
        <v>87</v>
      </c>
      <c r="D17" s="391" t="s">
        <v>251</v>
      </c>
      <c r="E17" s="392"/>
      <c r="F17" s="392"/>
      <c r="G17" s="392"/>
      <c r="H17" s="392"/>
      <c r="I17" s="393"/>
      <c r="J17" s="365" t="s">
        <v>252</v>
      </c>
      <c r="K17" s="385"/>
      <c r="L17" s="385"/>
      <c r="M17" s="385"/>
      <c r="N17" s="385"/>
      <c r="O17" s="371"/>
      <c r="P17" s="391" t="s">
        <v>70</v>
      </c>
      <c r="Q17" s="392"/>
      <c r="R17" s="392"/>
      <c r="S17" s="392"/>
      <c r="T17" s="392"/>
      <c r="U17" s="393"/>
      <c r="V17" s="368" t="s">
        <v>123</v>
      </c>
    </row>
    <row r="18" spans="1:22" ht="30.75" customHeight="1" thickBot="1">
      <c r="A18" s="366"/>
      <c r="B18" s="369"/>
      <c r="C18" s="372"/>
      <c r="D18" s="368" t="s">
        <v>71</v>
      </c>
      <c r="E18" s="355" t="s">
        <v>72</v>
      </c>
      <c r="F18" s="357"/>
      <c r="G18" s="355" t="s">
        <v>73</v>
      </c>
      <c r="H18" s="356"/>
      <c r="I18" s="357"/>
      <c r="J18" s="368" t="s">
        <v>71</v>
      </c>
      <c r="K18" s="355" t="s">
        <v>72</v>
      </c>
      <c r="L18" s="357"/>
      <c r="M18" s="355" t="s">
        <v>73</v>
      </c>
      <c r="N18" s="356"/>
      <c r="O18" s="357"/>
      <c r="P18" s="380" t="s">
        <v>67</v>
      </c>
      <c r="Q18" s="377" t="s">
        <v>74</v>
      </c>
      <c r="R18" s="363"/>
      <c r="S18" s="363"/>
      <c r="T18" s="363"/>
      <c r="U18" s="364"/>
      <c r="V18" s="369"/>
    </row>
    <row r="19" spans="1:22" ht="76.5" customHeight="1" thickBot="1">
      <c r="A19" s="366"/>
      <c r="B19" s="369"/>
      <c r="C19" s="372"/>
      <c r="D19" s="369"/>
      <c r="E19" s="374"/>
      <c r="F19" s="375"/>
      <c r="G19" s="358"/>
      <c r="H19" s="359"/>
      <c r="I19" s="360"/>
      <c r="J19" s="369"/>
      <c r="K19" s="374"/>
      <c r="L19" s="375"/>
      <c r="M19" s="358"/>
      <c r="N19" s="359"/>
      <c r="O19" s="360"/>
      <c r="P19" s="381"/>
      <c r="Q19" s="394" t="s">
        <v>75</v>
      </c>
      <c r="R19" s="395"/>
      <c r="S19" s="398" t="s">
        <v>76</v>
      </c>
      <c r="T19" s="399"/>
      <c r="U19" s="379"/>
      <c r="V19" s="369"/>
    </row>
    <row r="20" spans="1:22" ht="29.25" customHeight="1" thickBot="1">
      <c r="A20" s="366"/>
      <c r="B20" s="369"/>
      <c r="C20" s="372"/>
      <c r="D20" s="369"/>
      <c r="E20" s="358"/>
      <c r="F20" s="360"/>
      <c r="G20" s="361" t="s">
        <v>77</v>
      </c>
      <c r="H20" s="363" t="s">
        <v>78</v>
      </c>
      <c r="I20" s="364"/>
      <c r="J20" s="369"/>
      <c r="K20" s="358"/>
      <c r="L20" s="360"/>
      <c r="M20" s="361" t="s">
        <v>77</v>
      </c>
      <c r="N20" s="363" t="s">
        <v>78</v>
      </c>
      <c r="O20" s="364"/>
      <c r="P20" s="381"/>
      <c r="Q20" s="396"/>
      <c r="R20" s="397"/>
      <c r="S20" s="383" t="s">
        <v>77</v>
      </c>
      <c r="T20" s="378" t="s">
        <v>78</v>
      </c>
      <c r="U20" s="379"/>
      <c r="V20" s="369"/>
    </row>
    <row r="21" spans="1:22" ht="36.75" customHeight="1" thickBot="1">
      <c r="A21" s="367"/>
      <c r="B21" s="370"/>
      <c r="C21" s="373"/>
      <c r="D21" s="370"/>
      <c r="E21" s="38" t="s">
        <v>79</v>
      </c>
      <c r="F21" s="37" t="s">
        <v>80</v>
      </c>
      <c r="G21" s="362"/>
      <c r="H21" s="38" t="s">
        <v>81</v>
      </c>
      <c r="I21" s="37" t="s">
        <v>82</v>
      </c>
      <c r="J21" s="370"/>
      <c r="K21" s="38" t="s">
        <v>79</v>
      </c>
      <c r="L21" s="37" t="s">
        <v>80</v>
      </c>
      <c r="M21" s="362"/>
      <c r="N21" s="38" t="s">
        <v>81</v>
      </c>
      <c r="O21" s="37" t="s">
        <v>82</v>
      </c>
      <c r="P21" s="382"/>
      <c r="Q21" s="38" t="s">
        <v>79</v>
      </c>
      <c r="R21" s="37" t="s">
        <v>80</v>
      </c>
      <c r="S21" s="384"/>
      <c r="T21" s="39" t="s">
        <v>81</v>
      </c>
      <c r="U21" s="37" t="s">
        <v>82</v>
      </c>
      <c r="V21" s="370"/>
    </row>
    <row r="22" spans="1:22" ht="16.5" thickBot="1">
      <c r="A22" s="40">
        <v>1</v>
      </c>
      <c r="B22" s="35">
        <v>2</v>
      </c>
      <c r="C22" s="36">
        <v>3</v>
      </c>
      <c r="D22" s="41">
        <v>4</v>
      </c>
      <c r="E22" s="42">
        <v>5</v>
      </c>
      <c r="F22" s="43">
        <v>6</v>
      </c>
      <c r="G22" s="41">
        <v>7</v>
      </c>
      <c r="H22" s="44">
        <v>8</v>
      </c>
      <c r="I22" s="45">
        <v>9</v>
      </c>
      <c r="J22" s="41">
        <v>10</v>
      </c>
      <c r="K22" s="46">
        <v>11</v>
      </c>
      <c r="L22" s="43">
        <v>12</v>
      </c>
      <c r="M22" s="41">
        <v>13</v>
      </c>
      <c r="N22" s="44">
        <v>14</v>
      </c>
      <c r="O22" s="43">
        <v>15</v>
      </c>
      <c r="P22" s="43">
        <v>16</v>
      </c>
      <c r="Q22" s="44">
        <v>17</v>
      </c>
      <c r="R22" s="48">
        <v>18</v>
      </c>
      <c r="S22" s="47">
        <v>19</v>
      </c>
      <c r="T22" s="44">
        <v>20</v>
      </c>
      <c r="U22" s="43">
        <v>21</v>
      </c>
      <c r="V22" s="41">
        <v>22</v>
      </c>
    </row>
    <row r="23" spans="1:22" ht="31.5">
      <c r="A23" s="49" t="s">
        <v>12</v>
      </c>
      <c r="B23" s="50" t="s">
        <v>117</v>
      </c>
      <c r="C23" s="51" t="s">
        <v>13</v>
      </c>
      <c r="D23" s="52">
        <f aca="true" t="shared" si="0" ref="D23:I23">D25</f>
        <v>8939896.5</v>
      </c>
      <c r="E23" s="53">
        <f t="shared" si="0"/>
        <v>6582174</v>
      </c>
      <c r="F23" s="54">
        <f t="shared" si="0"/>
        <v>1250752.7</v>
      </c>
      <c r="G23" s="55">
        <f t="shared" si="0"/>
        <v>55623</v>
      </c>
      <c r="H23" s="56">
        <f t="shared" si="0"/>
        <v>1012356</v>
      </c>
      <c r="I23" s="54">
        <f t="shared" si="0"/>
        <v>38991.5</v>
      </c>
      <c r="J23" s="52">
        <f aca="true" t="shared" si="1" ref="J23:O23">J25</f>
        <v>8600252.73</v>
      </c>
      <c r="K23" s="53">
        <f t="shared" si="1"/>
        <v>6583654.91</v>
      </c>
      <c r="L23" s="54">
        <f t="shared" si="1"/>
        <v>1064103.49</v>
      </c>
      <c r="M23" s="55">
        <f t="shared" si="1"/>
        <v>0</v>
      </c>
      <c r="N23" s="56">
        <f t="shared" si="1"/>
        <v>940011.57</v>
      </c>
      <c r="O23" s="54">
        <f t="shared" si="1"/>
        <v>12482.76</v>
      </c>
      <c r="P23" s="57">
        <f aca="true" t="shared" si="2" ref="P23:U23">J23/D23-1</f>
        <v>-0.03799191299362359</v>
      </c>
      <c r="Q23" s="58">
        <f t="shared" si="2"/>
        <v>0.00022498797509751256</v>
      </c>
      <c r="R23" s="59">
        <f t="shared" si="2"/>
        <v>-0.14922950795948708</v>
      </c>
      <c r="S23" s="60">
        <f t="shared" si="2"/>
        <v>-1</v>
      </c>
      <c r="T23" s="58">
        <f t="shared" si="2"/>
        <v>-0.07146145229543766</v>
      </c>
      <c r="U23" s="60">
        <f t="shared" si="2"/>
        <v>-0.6798594565482221</v>
      </c>
      <c r="V23" s="260"/>
    </row>
    <row r="24" spans="1:22" ht="20.25" customHeight="1">
      <c r="A24" s="61"/>
      <c r="B24" s="62" t="s">
        <v>14</v>
      </c>
      <c r="C24" s="63"/>
      <c r="D24" s="64"/>
      <c r="E24" s="65"/>
      <c r="F24" s="66"/>
      <c r="G24" s="68"/>
      <c r="H24" s="69"/>
      <c r="I24" s="66"/>
      <c r="J24" s="64"/>
      <c r="K24" s="65"/>
      <c r="L24" s="66"/>
      <c r="M24" s="68"/>
      <c r="N24" s="69"/>
      <c r="O24" s="66"/>
      <c r="P24" s="70"/>
      <c r="Q24" s="71"/>
      <c r="R24" s="72"/>
      <c r="S24" s="73"/>
      <c r="T24" s="71"/>
      <c r="U24" s="73"/>
      <c r="V24" s="261"/>
    </row>
    <row r="25" spans="1:22" ht="18.75">
      <c r="A25" s="74">
        <v>1</v>
      </c>
      <c r="B25" s="75" t="s">
        <v>15</v>
      </c>
      <c r="C25" s="76" t="s">
        <v>16</v>
      </c>
      <c r="D25" s="77">
        <f aca="true" t="shared" si="3" ref="D25:I25">D27+D28+D29+D30</f>
        <v>8939896.5</v>
      </c>
      <c r="E25" s="78">
        <f t="shared" si="3"/>
        <v>6582174</v>
      </c>
      <c r="F25" s="79">
        <f>F27+F28+F29+F30+0.7</f>
        <v>1250752.7</v>
      </c>
      <c r="G25" s="80">
        <f t="shared" si="3"/>
        <v>55623</v>
      </c>
      <c r="H25" s="81">
        <f t="shared" si="3"/>
        <v>1012356</v>
      </c>
      <c r="I25" s="79">
        <f t="shared" si="3"/>
        <v>38991.5</v>
      </c>
      <c r="J25" s="77">
        <f aca="true" t="shared" si="4" ref="J25:O25">J27+J28+J29+J30</f>
        <v>8600252.73</v>
      </c>
      <c r="K25" s="78">
        <f t="shared" si="4"/>
        <v>6583654.91</v>
      </c>
      <c r="L25" s="79">
        <f t="shared" si="4"/>
        <v>1064103.49</v>
      </c>
      <c r="M25" s="80">
        <f t="shared" si="4"/>
        <v>0</v>
      </c>
      <c r="N25" s="81">
        <f t="shared" si="4"/>
        <v>940011.57</v>
      </c>
      <c r="O25" s="79">
        <f t="shared" si="4"/>
        <v>12482.76</v>
      </c>
      <c r="P25" s="83">
        <f aca="true" t="shared" si="5" ref="P25:U25">J25/D25-1</f>
        <v>-0.03799191299362359</v>
      </c>
      <c r="Q25" s="84">
        <f t="shared" si="5"/>
        <v>0.00022498797509751256</v>
      </c>
      <c r="R25" s="85">
        <f t="shared" si="5"/>
        <v>-0.14922950795948708</v>
      </c>
      <c r="S25" s="86">
        <f t="shared" si="5"/>
        <v>-1</v>
      </c>
      <c r="T25" s="84">
        <f t="shared" si="5"/>
        <v>-0.07146145229543766</v>
      </c>
      <c r="U25" s="86">
        <f t="shared" si="5"/>
        <v>-0.6798594565482221</v>
      </c>
      <c r="V25" s="261"/>
    </row>
    <row r="26" spans="1:22" ht="21" customHeight="1">
      <c r="A26" s="61"/>
      <c r="B26" s="62" t="s">
        <v>14</v>
      </c>
      <c r="C26" s="63" t="s">
        <v>16</v>
      </c>
      <c r="D26" s="267"/>
      <c r="E26" s="268"/>
      <c r="F26" s="269"/>
      <c r="G26" s="270"/>
      <c r="H26" s="271"/>
      <c r="I26" s="269"/>
      <c r="J26" s="64"/>
      <c r="K26" s="65"/>
      <c r="L26" s="66"/>
      <c r="M26" s="68"/>
      <c r="N26" s="69"/>
      <c r="O26" s="66"/>
      <c r="P26" s="83"/>
      <c r="Q26" s="84"/>
      <c r="R26" s="85"/>
      <c r="S26" s="86"/>
      <c r="T26" s="84"/>
      <c r="U26" s="86"/>
      <c r="V26" s="261"/>
    </row>
    <row r="27" spans="1:22" ht="31.5">
      <c r="A27" s="61" t="s">
        <v>1</v>
      </c>
      <c r="B27" s="62" t="s">
        <v>17</v>
      </c>
      <c r="C27" s="63" t="s">
        <v>16</v>
      </c>
      <c r="D27" s="64">
        <f>E27+F27</f>
        <v>3582123</v>
      </c>
      <c r="E27" s="65">
        <f>'[7]Проект тарифн.смета'!$E$17</f>
        <v>3010534</v>
      </c>
      <c r="F27" s="66">
        <f>'[7]Проект тарифн.смета'!$F$17</f>
        <v>571589</v>
      </c>
      <c r="G27" s="64">
        <v>0</v>
      </c>
      <c r="H27" s="65">
        <v>0</v>
      </c>
      <c r="I27" s="67">
        <v>0</v>
      </c>
      <c r="J27" s="64">
        <f>K27+L27+M27+N27+O27</f>
        <v>3465118.73</v>
      </c>
      <c r="K27" s="65">
        <v>3029236.93</v>
      </c>
      <c r="L27" s="66">
        <v>435881.8</v>
      </c>
      <c r="M27" s="64">
        <v>0</v>
      </c>
      <c r="N27" s="65">
        <v>0</v>
      </c>
      <c r="O27" s="67">
        <v>0</v>
      </c>
      <c r="P27" s="86">
        <f>J27/D27-1</f>
        <v>-0.032663387047290104</v>
      </c>
      <c r="Q27" s="84">
        <f>K27/E27-1</f>
        <v>0.00621249585621686</v>
      </c>
      <c r="R27" s="85">
        <f>L27/F27-1</f>
        <v>-0.2374209440699524</v>
      </c>
      <c r="S27" s="86"/>
      <c r="T27" s="84"/>
      <c r="U27" s="86"/>
      <c r="V27" s="262"/>
    </row>
    <row r="28" spans="1:22" ht="89.25" customHeight="1">
      <c r="A28" s="61" t="s">
        <v>2</v>
      </c>
      <c r="B28" s="62" t="s">
        <v>115</v>
      </c>
      <c r="C28" s="63" t="s">
        <v>16</v>
      </c>
      <c r="D28" s="64">
        <f>I28</f>
        <v>38991.5</v>
      </c>
      <c r="E28" s="65">
        <f>'[7]Проект с коррет АМК г.Пав2019 '!$L$17</f>
        <v>0</v>
      </c>
      <c r="F28" s="66">
        <f>'[7]Проект с коррет АМК г.Пав2019 '!$M$17</f>
        <v>0</v>
      </c>
      <c r="G28" s="64">
        <v>0</v>
      </c>
      <c r="H28" s="65">
        <v>0</v>
      </c>
      <c r="I28" s="67">
        <f>38991.5</f>
        <v>38991.5</v>
      </c>
      <c r="J28" s="64">
        <f>K28+L28+M28+N28+O28</f>
        <v>12482.76</v>
      </c>
      <c r="K28" s="65">
        <v>0</v>
      </c>
      <c r="L28" s="66">
        <v>0</v>
      </c>
      <c r="M28" s="64">
        <v>0</v>
      </c>
      <c r="N28" s="65">
        <v>0</v>
      </c>
      <c r="O28" s="67">
        <f>12482.76</f>
        <v>12482.76</v>
      </c>
      <c r="P28" s="86">
        <f>J28/D28-1</f>
        <v>-0.6798594565482221</v>
      </c>
      <c r="Q28" s="84"/>
      <c r="R28" s="85"/>
      <c r="S28" s="86"/>
      <c r="T28" s="84"/>
      <c r="U28" s="86">
        <f>O28/I28-1</f>
        <v>-0.6798594565482221</v>
      </c>
      <c r="V28" s="160" t="s">
        <v>263</v>
      </c>
    </row>
    <row r="29" spans="1:22" ht="75" customHeight="1">
      <c r="A29" s="61" t="s">
        <v>58</v>
      </c>
      <c r="B29" s="62" t="s">
        <v>116</v>
      </c>
      <c r="C29" s="63" t="s">
        <v>16</v>
      </c>
      <c r="D29" s="64">
        <f>G29+H29</f>
        <v>1067979</v>
      </c>
      <c r="E29" s="65">
        <f>'[7]Проект с коррет АМК г.Пав2019 '!$L$18</f>
        <v>0</v>
      </c>
      <c r="F29" s="66">
        <f>'[7]Проект с коррет АМК г.Пав2019 '!$M$18</f>
        <v>0</v>
      </c>
      <c r="G29" s="64">
        <f>'[7]Проект тарифн.смета'!$G$19</f>
        <v>55623</v>
      </c>
      <c r="H29" s="65">
        <f>'[7]Проект тарифн.смета'!$H$19</f>
        <v>1012356</v>
      </c>
      <c r="I29" s="67">
        <v>0</v>
      </c>
      <c r="J29" s="64">
        <f>K29+L29+M29+N29+O29</f>
        <v>940011.57</v>
      </c>
      <c r="K29" s="65">
        <v>0</v>
      </c>
      <c r="L29" s="66">
        <v>0</v>
      </c>
      <c r="M29" s="64">
        <f>'[1]г.Павлодар1'!$EA$828</f>
        <v>0</v>
      </c>
      <c r="N29" s="65">
        <f>940011.57</f>
        <v>940011.57</v>
      </c>
      <c r="O29" s="67">
        <v>0</v>
      </c>
      <c r="P29" s="86">
        <f>J29/D29-1</f>
        <v>-0.11982204706272315</v>
      </c>
      <c r="Q29" s="84"/>
      <c r="R29" s="85"/>
      <c r="S29" s="86">
        <f>M29/G29-1</f>
        <v>-1</v>
      </c>
      <c r="T29" s="84">
        <f>N29/H29-1</f>
        <v>-0.07146145229543766</v>
      </c>
      <c r="U29" s="86"/>
      <c r="V29" s="62" t="s">
        <v>264</v>
      </c>
    </row>
    <row r="30" spans="1:22" ht="49.5" customHeight="1">
      <c r="A30" s="61" t="s">
        <v>59</v>
      </c>
      <c r="B30" s="62" t="s">
        <v>18</v>
      </c>
      <c r="C30" s="63" t="s">
        <v>16</v>
      </c>
      <c r="D30" s="64">
        <f>E30+F30</f>
        <v>4250803</v>
      </c>
      <c r="E30" s="65">
        <f>'[7]Проект тарифн.смета'!$E$20</f>
        <v>3571640</v>
      </c>
      <c r="F30" s="66">
        <f>'[7]Проект тарифн.смета'!$F$20</f>
        <v>679163</v>
      </c>
      <c r="G30" s="64">
        <v>0</v>
      </c>
      <c r="H30" s="65">
        <v>0</v>
      </c>
      <c r="I30" s="67">
        <v>0</v>
      </c>
      <c r="J30" s="64">
        <f>K30+L30+M30+N30+O30</f>
        <v>4182639.67</v>
      </c>
      <c r="K30" s="65">
        <v>3554417.98</v>
      </c>
      <c r="L30" s="66">
        <v>628221.69</v>
      </c>
      <c r="M30" s="64">
        <v>0</v>
      </c>
      <c r="N30" s="65">
        <v>0</v>
      </c>
      <c r="O30" s="67">
        <v>0</v>
      </c>
      <c r="P30" s="86">
        <f>J30/D30-1</f>
        <v>-0.016035400840735292</v>
      </c>
      <c r="Q30" s="84">
        <f>K30/E30-1</f>
        <v>-0.004821880144695423</v>
      </c>
      <c r="R30" s="85">
        <f>L30/F30-1</f>
        <v>-0.07500601475639879</v>
      </c>
      <c r="S30" s="86"/>
      <c r="T30" s="84"/>
      <c r="U30" s="86"/>
      <c r="V30" s="228" t="s">
        <v>265</v>
      </c>
    </row>
    <row r="31" spans="1:22" ht="20.25" customHeight="1">
      <c r="A31" s="74" t="s">
        <v>19</v>
      </c>
      <c r="B31" s="75" t="s">
        <v>5</v>
      </c>
      <c r="C31" s="76" t="s">
        <v>16</v>
      </c>
      <c r="D31" s="77">
        <f>SUM(E31:I31)+1</f>
        <v>152764.92149379468</v>
      </c>
      <c r="E31" s="78">
        <f>(E33+E37+E42+E43+E47)</f>
        <v>115340.68305235457</v>
      </c>
      <c r="F31" s="79">
        <f>(F33+F37+F42+F43+F47)</f>
        <v>21897.553148384715</v>
      </c>
      <c r="G31" s="80">
        <f>G33+G37+G42+G43+G47</f>
        <v>344.7402531085291</v>
      </c>
      <c r="H31" s="81">
        <f>H33+H37+H42+H43+H47</f>
        <v>13274.214155205042</v>
      </c>
      <c r="I31" s="79">
        <f>I33+I37+I42+I43+I47</f>
        <v>1906.7308847418471</v>
      </c>
      <c r="J31" s="77">
        <f aca="true" t="shared" si="6" ref="J31:O31">J33+J37+J42+J43+J47</f>
        <v>209944.696535048</v>
      </c>
      <c r="K31" s="78">
        <f t="shared" si="6"/>
        <v>163199.47761353044</v>
      </c>
      <c r="L31" s="79">
        <f t="shared" si="6"/>
        <v>28770.726667872346</v>
      </c>
      <c r="M31" s="80">
        <f t="shared" si="6"/>
        <v>0</v>
      </c>
      <c r="N31" s="81">
        <f t="shared" si="6"/>
        <v>17125.59043115621</v>
      </c>
      <c r="O31" s="79">
        <f t="shared" si="6"/>
        <v>848.9018224889745</v>
      </c>
      <c r="P31" s="83">
        <f>J31/D31-1</f>
        <v>0.3742991158056921</v>
      </c>
      <c r="Q31" s="87">
        <f>K31/E31-1</f>
        <v>0.41493420443376583</v>
      </c>
      <c r="R31" s="88">
        <f>L31/F31-1</f>
        <v>0.31387860885245233</v>
      </c>
      <c r="S31" s="83">
        <f>M31/G31-1</f>
        <v>-1</v>
      </c>
      <c r="T31" s="87">
        <f>N31/H31-1</f>
        <v>0.29013968216272756</v>
      </c>
      <c r="U31" s="83">
        <f>O31/I31-1</f>
        <v>-0.5547867665635953</v>
      </c>
      <c r="V31" s="261"/>
    </row>
    <row r="32" spans="1:22" ht="18.75">
      <c r="A32" s="61"/>
      <c r="B32" s="62" t="s">
        <v>14</v>
      </c>
      <c r="C32" s="63" t="s">
        <v>16</v>
      </c>
      <c r="D32" s="273"/>
      <c r="E32" s="268"/>
      <c r="F32" s="269"/>
      <c r="G32" s="270"/>
      <c r="H32" s="271"/>
      <c r="I32" s="269"/>
      <c r="J32" s="89"/>
      <c r="K32" s="268"/>
      <c r="L32" s="269"/>
      <c r="M32" s="270"/>
      <c r="N32" s="271"/>
      <c r="O32" s="269"/>
      <c r="P32" s="83"/>
      <c r="Q32" s="84"/>
      <c r="R32" s="85"/>
      <c r="S32" s="86"/>
      <c r="T32" s="84"/>
      <c r="U32" s="86"/>
      <c r="V32" s="261"/>
    </row>
    <row r="33" spans="1:22" ht="18.75">
      <c r="A33" s="349">
        <v>2</v>
      </c>
      <c r="B33" s="75" t="s">
        <v>20</v>
      </c>
      <c r="C33" s="76" t="s">
        <v>16</v>
      </c>
      <c r="D33" s="90">
        <f>SUM(E33:I34)</f>
        <v>4989.5443883089765</v>
      </c>
      <c r="E33" s="78">
        <f>E35+E36</f>
        <v>3771.1482254697285</v>
      </c>
      <c r="F33" s="79">
        <f>F35+F36</f>
        <v>714.6430062630479</v>
      </c>
      <c r="G33" s="80">
        <f>G35+G36</f>
        <v>14.99455114822547</v>
      </c>
      <c r="H33" s="81">
        <f>H35+H36</f>
        <v>419.70015031315245</v>
      </c>
      <c r="I33" s="79">
        <f>I35+I36</f>
        <v>69.05845511482255</v>
      </c>
      <c r="J33" s="90">
        <f aca="true" t="shared" si="7" ref="J33:O33">J35+J36</f>
        <v>6391.959290394686</v>
      </c>
      <c r="K33" s="78">
        <f t="shared" si="7"/>
        <v>4968.758126953783</v>
      </c>
      <c r="L33" s="79">
        <f t="shared" si="7"/>
        <v>875.951222637398</v>
      </c>
      <c r="M33" s="80">
        <f t="shared" si="7"/>
        <v>0</v>
      </c>
      <c r="N33" s="81">
        <f t="shared" si="7"/>
        <v>521.4043444133829</v>
      </c>
      <c r="O33" s="79">
        <f t="shared" si="7"/>
        <v>25.845596390121454</v>
      </c>
      <c r="P33" s="83">
        <f aca="true" t="shared" si="8" ref="P33:U33">J33/D33-1</f>
        <v>0.2810707337070122</v>
      </c>
      <c r="Q33" s="84">
        <f t="shared" si="8"/>
        <v>0.31757168636215094</v>
      </c>
      <c r="R33" s="85">
        <f t="shared" si="8"/>
        <v>0.22571859650295845</v>
      </c>
      <c r="S33" s="86">
        <f t="shared" si="8"/>
        <v>-1</v>
      </c>
      <c r="T33" s="84">
        <f t="shared" si="8"/>
        <v>0.24232584626034925</v>
      </c>
      <c r="U33" s="86">
        <f t="shared" si="8"/>
        <v>-0.6257432004937218</v>
      </c>
      <c r="V33" s="261"/>
    </row>
    <row r="34" spans="1:22" ht="18.75">
      <c r="A34" s="349"/>
      <c r="B34" s="62" t="s">
        <v>14</v>
      </c>
      <c r="C34" s="63" t="s">
        <v>16</v>
      </c>
      <c r="D34" s="273"/>
      <c r="E34" s="268"/>
      <c r="F34" s="269"/>
      <c r="G34" s="270"/>
      <c r="H34" s="271"/>
      <c r="I34" s="269"/>
      <c r="J34" s="89"/>
      <c r="K34" s="268"/>
      <c r="L34" s="269"/>
      <c r="M34" s="270"/>
      <c r="N34" s="271"/>
      <c r="O34" s="269"/>
      <c r="P34" s="83"/>
      <c r="Q34" s="84"/>
      <c r="R34" s="85"/>
      <c r="S34" s="86"/>
      <c r="T34" s="84"/>
      <c r="U34" s="86"/>
      <c r="V34" s="261"/>
    </row>
    <row r="35" spans="1:22" ht="94.5">
      <c r="A35" s="61" t="s">
        <v>3</v>
      </c>
      <c r="B35" s="62" t="s">
        <v>21</v>
      </c>
      <c r="C35" s="63" t="s">
        <v>16</v>
      </c>
      <c r="D35" s="89">
        <f>E35+F35+G35+H35+I35</f>
        <v>4984.876388308977</v>
      </c>
      <c r="E35" s="65">
        <f>'[7]Проект тарифн.смета'!$E$25</f>
        <v>3767.369519832985</v>
      </c>
      <c r="F35" s="66">
        <f>'[7]Проект тарифн.смета'!$F$25</f>
        <v>713.9269311064718</v>
      </c>
      <c r="G35" s="68">
        <f>'[7]Проект тарифн.смета'!$G$25</f>
        <v>14.979937369519833</v>
      </c>
      <c r="H35" s="69">
        <f>'[7]Проект тарифн.смета'!$H$25</f>
        <v>419.6</v>
      </c>
      <c r="I35" s="66">
        <f>'[7]Проект тарифн.смета'!$I$25</f>
        <v>69</v>
      </c>
      <c r="J35" s="89">
        <f>'[8]исполнение тар.сметы-правда '!$DA$22</f>
        <v>6383.858600004686</v>
      </c>
      <c r="K35" s="65">
        <f>J35*K72/100</f>
        <v>4962.461095107893</v>
      </c>
      <c r="L35" s="66">
        <f>J35*L72/100</f>
        <v>874.8411076743708</v>
      </c>
      <c r="M35" s="68">
        <f>J35*M72/100</f>
        <v>0</v>
      </c>
      <c r="N35" s="69">
        <f>J35*N72/100</f>
        <v>520.7435556050998</v>
      </c>
      <c r="O35" s="66">
        <f>J35*O72/100</f>
        <v>25.812841617321837</v>
      </c>
      <c r="P35" s="73">
        <f aca="true" t="shared" si="9" ref="P35:U35">J35/D35-1</f>
        <v>0.28064531649706304</v>
      </c>
      <c r="Q35" s="71">
        <f t="shared" si="9"/>
        <v>0.31722175618384485</v>
      </c>
      <c r="R35" s="72">
        <f t="shared" si="9"/>
        <v>0.22539306132983095</v>
      </c>
      <c r="S35" s="73">
        <f t="shared" si="9"/>
        <v>-1</v>
      </c>
      <c r="T35" s="71">
        <f t="shared" si="9"/>
        <v>0.24104755863941785</v>
      </c>
      <c r="U35" s="73">
        <f t="shared" si="9"/>
        <v>-0.6259008461257705</v>
      </c>
      <c r="V35" s="196" t="s">
        <v>139</v>
      </c>
    </row>
    <row r="36" spans="1:22" ht="18.75">
      <c r="A36" s="61" t="s">
        <v>4</v>
      </c>
      <c r="B36" s="62" t="s">
        <v>60</v>
      </c>
      <c r="C36" s="63" t="s">
        <v>16</v>
      </c>
      <c r="D36" s="89">
        <f>E36+F36+G36+H36+I36</f>
        <v>4.668</v>
      </c>
      <c r="E36" s="65">
        <f>'[7]Проект тарифн.смета'!$E$26</f>
        <v>3.778705636743215</v>
      </c>
      <c r="F36" s="66">
        <f>'[7]Проект тарифн.смета'!$F$26</f>
        <v>0.7160751565762004</v>
      </c>
      <c r="G36" s="68">
        <f>'[7]Проект тарифн.смета'!$G$26</f>
        <v>0.014613778705636744</v>
      </c>
      <c r="H36" s="69">
        <f>'[7]Проект тарифн.смета'!$H$26</f>
        <v>0.1001503131524008</v>
      </c>
      <c r="I36" s="66">
        <f>'[7]Проект тарифн.смета'!$I$26</f>
        <v>0.05845511482254698</v>
      </c>
      <c r="J36" s="89">
        <f>'[8]исполнение тар.сметы-правда '!$DA$23</f>
        <v>8.100690389999999</v>
      </c>
      <c r="K36" s="65">
        <f>J36*K72/100</f>
        <v>6.297031845890175</v>
      </c>
      <c r="L36" s="66">
        <f>J36*L72/100</f>
        <v>1.110114963027146</v>
      </c>
      <c r="M36" s="68">
        <f>J36*M72/100</f>
        <v>0</v>
      </c>
      <c r="N36" s="69">
        <f>J36*N72/100</f>
        <v>0.6607888082830601</v>
      </c>
      <c r="O36" s="66">
        <f>J36*O72/100</f>
        <v>0.03275477279961645</v>
      </c>
      <c r="P36" s="86">
        <f aca="true" t="shared" si="10" ref="P36:R37">J36/D36-1</f>
        <v>0.7353664074550126</v>
      </c>
      <c r="Q36" s="84">
        <f t="shared" si="10"/>
        <v>0.6664520741333668</v>
      </c>
      <c r="R36" s="85">
        <f t="shared" si="10"/>
        <v>0.550277164110796</v>
      </c>
      <c r="S36" s="85"/>
      <c r="T36" s="84">
        <f>N36/H36-1</f>
        <v>5.5979704654295395</v>
      </c>
      <c r="U36" s="73"/>
      <c r="V36" s="261"/>
    </row>
    <row r="37" spans="1:22" ht="18.75">
      <c r="A37" s="349">
        <v>3</v>
      </c>
      <c r="B37" s="75" t="s">
        <v>22</v>
      </c>
      <c r="C37" s="63" t="s">
        <v>16</v>
      </c>
      <c r="D37" s="90">
        <f aca="true" t="shared" si="11" ref="D37:I37">SUM(D39:D41)</f>
        <v>109419.99810548572</v>
      </c>
      <c r="E37" s="78">
        <f t="shared" si="11"/>
        <v>82612</v>
      </c>
      <c r="F37" s="79">
        <f t="shared" si="11"/>
        <v>15700</v>
      </c>
      <c r="G37" s="80">
        <f t="shared" si="11"/>
        <v>215.86315047574297</v>
      </c>
      <c r="H37" s="81">
        <f t="shared" si="11"/>
        <v>9506.134955009986</v>
      </c>
      <c r="I37" s="79">
        <f t="shared" si="11"/>
        <v>1386</v>
      </c>
      <c r="J37" s="90">
        <f aca="true" t="shared" si="12" ref="J37:O37">J39+J40+J41</f>
        <v>153504.6966004434</v>
      </c>
      <c r="K37" s="78">
        <f t="shared" si="12"/>
        <v>119326.12116369278</v>
      </c>
      <c r="L37" s="79">
        <f t="shared" si="12"/>
        <v>21036.214493700027</v>
      </c>
      <c r="M37" s="80">
        <f t="shared" si="12"/>
        <v>0</v>
      </c>
      <c r="N37" s="81">
        <f t="shared" si="12"/>
        <v>12521.671690807543</v>
      </c>
      <c r="O37" s="79">
        <f t="shared" si="12"/>
        <v>620.6892522430522</v>
      </c>
      <c r="P37" s="83">
        <f t="shared" si="10"/>
        <v>0.40289434525906387</v>
      </c>
      <c r="Q37" s="87">
        <f t="shared" si="10"/>
        <v>0.44441632164446787</v>
      </c>
      <c r="R37" s="88">
        <f t="shared" si="10"/>
        <v>0.3398862734840782</v>
      </c>
      <c r="S37" s="83">
        <f>M37/G37-1</f>
        <v>-1</v>
      </c>
      <c r="T37" s="87">
        <f>N37/H37-1</f>
        <v>0.3172200636819582</v>
      </c>
      <c r="U37" s="83">
        <f>O37/I37-1</f>
        <v>-0.5521722566788945</v>
      </c>
      <c r="V37" s="261"/>
    </row>
    <row r="38" spans="1:22" ht="14.25" customHeight="1">
      <c r="A38" s="349"/>
      <c r="B38" s="62" t="s">
        <v>14</v>
      </c>
      <c r="C38" s="63"/>
      <c r="D38" s="273"/>
      <c r="E38" s="268"/>
      <c r="F38" s="269"/>
      <c r="G38" s="270"/>
      <c r="H38" s="271"/>
      <c r="I38" s="269"/>
      <c r="J38" s="89"/>
      <c r="K38" s="268"/>
      <c r="L38" s="269"/>
      <c r="M38" s="270"/>
      <c r="N38" s="271"/>
      <c r="O38" s="269"/>
      <c r="P38" s="83"/>
      <c r="Q38" s="84"/>
      <c r="R38" s="85"/>
      <c r="S38" s="86"/>
      <c r="T38" s="84"/>
      <c r="U38" s="86"/>
      <c r="V38" s="261"/>
    </row>
    <row r="39" spans="1:22" ht="47.25">
      <c r="A39" s="61" t="s">
        <v>23</v>
      </c>
      <c r="B39" s="62" t="s">
        <v>24</v>
      </c>
      <c r="C39" s="63" t="s">
        <v>16</v>
      </c>
      <c r="D39" s="89">
        <f>E39+F39+G39+H39+I39</f>
        <v>99563</v>
      </c>
      <c r="E39" s="65">
        <f>'[7]Проект тарифн.смета'!$E$29</f>
        <v>75170</v>
      </c>
      <c r="F39" s="66">
        <f>'[7]Проект тарифн.смета'!$F$29</f>
        <v>14290</v>
      </c>
      <c r="G39" s="68">
        <f>'[7]Проект тарифн.смета'!$G$29</f>
        <v>186</v>
      </c>
      <c r="H39" s="69">
        <f>'[7]Проект тарифн.смета'!$H$29</f>
        <v>8649</v>
      </c>
      <c r="I39" s="66">
        <f>'[7]Проект тарифн.смета'!$I$29</f>
        <v>1268</v>
      </c>
      <c r="J39" s="89">
        <f>'[8]исполнение тар.сметы-правда '!$DA$26</f>
        <v>140356.97482333463</v>
      </c>
      <c r="K39" s="65">
        <f>J39*K72/100</f>
        <v>109105.80428384252</v>
      </c>
      <c r="L39" s="66">
        <f>J39*L72/100</f>
        <v>19234.456622234666</v>
      </c>
      <c r="M39" s="68">
        <f>J39*M72/100</f>
        <v>0</v>
      </c>
      <c r="N39" s="69">
        <f>J39*N72/100</f>
        <v>11449.186879456429</v>
      </c>
      <c r="O39" s="66">
        <f>J39*O72/100</f>
        <v>567.5270378010105</v>
      </c>
      <c r="P39" s="86">
        <f aca="true" t="shared" si="13" ref="P39:U43">J39/D39-1</f>
        <v>0.4097302695111098</v>
      </c>
      <c r="Q39" s="84">
        <f t="shared" si="13"/>
        <v>0.4514540945036918</v>
      </c>
      <c r="R39" s="85">
        <f t="shared" si="13"/>
        <v>0.34600816110809407</v>
      </c>
      <c r="S39" s="86">
        <f t="shared" si="13"/>
        <v>-1</v>
      </c>
      <c r="T39" s="84">
        <f t="shared" si="13"/>
        <v>0.3237584552499051</v>
      </c>
      <c r="U39" s="86">
        <f t="shared" si="13"/>
        <v>-0.5524234717657646</v>
      </c>
      <c r="V39" s="160" t="s">
        <v>260</v>
      </c>
    </row>
    <row r="40" spans="1:22" ht="41.25" customHeight="1">
      <c r="A40" s="93" t="s">
        <v>25</v>
      </c>
      <c r="B40" s="92" t="s">
        <v>26</v>
      </c>
      <c r="C40" s="94" t="s">
        <v>16</v>
      </c>
      <c r="D40" s="97">
        <f>E40+F40+G40+H40+I40</f>
        <v>8512.988000000001</v>
      </c>
      <c r="E40" s="95">
        <f>'[7]Проект тарифн.смета'!$E$30</f>
        <v>6427.284772243075</v>
      </c>
      <c r="F40" s="96">
        <f>'[7]Проект тарифн.смета'!$F$30</f>
        <v>1217.7467789388252</v>
      </c>
      <c r="G40" s="98">
        <f>'[7]Проект тарифн.смета'!$G$30</f>
        <v>25.445855737039665</v>
      </c>
      <c r="H40" s="99">
        <f>'[7]Проект тарифн.смета'!$H$30</f>
        <v>740.5998697372426</v>
      </c>
      <c r="I40" s="96">
        <f>'[7]Проект тарифн.смета'!$I$30</f>
        <v>101.91072334381657</v>
      </c>
      <c r="J40" s="97">
        <f>'[8]исполнение тар.сметы-правда '!$DA$27</f>
        <v>10986.581061978775</v>
      </c>
      <c r="K40" s="95">
        <f>J40*K72/100</f>
        <v>8540.36477065435</v>
      </c>
      <c r="L40" s="96">
        <f>J40*L72/100</f>
        <v>1505.5961210996625</v>
      </c>
      <c r="M40" s="98">
        <f>J40*M72/100</f>
        <v>0</v>
      </c>
      <c r="N40" s="99">
        <f>J40*N72/100</f>
        <v>896.1964298761693</v>
      </c>
      <c r="O40" s="96">
        <f>J40*O72/100</f>
        <v>44.42374034859066</v>
      </c>
      <c r="P40" s="86">
        <f t="shared" si="13"/>
        <v>0.29056696214992606</v>
      </c>
      <c r="Q40" s="84">
        <f t="shared" si="13"/>
        <v>0.3287671346906613</v>
      </c>
      <c r="R40" s="85">
        <f t="shared" si="13"/>
        <v>0.2363786520640001</v>
      </c>
      <c r="S40" s="86">
        <f t="shared" si="13"/>
        <v>-1</v>
      </c>
      <c r="T40" s="84">
        <f t="shared" si="13"/>
        <v>0.21009531124294</v>
      </c>
      <c r="U40" s="86">
        <f t="shared" si="13"/>
        <v>-0.564091600069228</v>
      </c>
      <c r="V40" s="390" t="s">
        <v>138</v>
      </c>
    </row>
    <row r="41" spans="1:22" s="219" customFormat="1" ht="126.75" customHeight="1">
      <c r="A41" s="93" t="s">
        <v>134</v>
      </c>
      <c r="B41" s="92" t="s">
        <v>135</v>
      </c>
      <c r="C41" s="218" t="s">
        <v>16</v>
      </c>
      <c r="D41" s="97">
        <f>E41+F41+G41+H41+I41</f>
        <v>1344.0101054857278</v>
      </c>
      <c r="E41" s="95">
        <f>'[7]Проект тарифн.смета'!$E$33</f>
        <v>1014.7152277569239</v>
      </c>
      <c r="F41" s="96">
        <f>'[7]Проект тарифн.смета'!$F$33</f>
        <v>192.2532210611748</v>
      </c>
      <c r="G41" s="98">
        <f>'[7]Проект тарифн.смета'!$G$33</f>
        <v>4.417294738703314</v>
      </c>
      <c r="H41" s="99">
        <f>'[7]Проект тарифн.смета'!$H$33</f>
        <v>116.53508527274215</v>
      </c>
      <c r="I41" s="96">
        <f>'[7]Проект тарифн.смета'!$I$33</f>
        <v>16.089276656183422</v>
      </c>
      <c r="J41" s="97">
        <f>'[8]исполнение тар.сметы-правда '!$DA$28</f>
        <v>2161.1407151300004</v>
      </c>
      <c r="K41" s="95">
        <f>J41*K72/100</f>
        <v>1679.9521091959032</v>
      </c>
      <c r="L41" s="96">
        <f>J41*L72/100</f>
        <v>296.1617503656995</v>
      </c>
      <c r="M41" s="98">
        <f>J41*M72/100</f>
        <v>0</v>
      </c>
      <c r="N41" s="99">
        <f>J41*N72/100</f>
        <v>176.28838147494653</v>
      </c>
      <c r="O41" s="96">
        <f>J41*O72/100</f>
        <v>8.738474093451163</v>
      </c>
      <c r="P41" s="86">
        <f t="shared" si="13"/>
        <v>0.6079795131815324</v>
      </c>
      <c r="Q41" s="84">
        <f t="shared" si="13"/>
        <v>0.6555897292578499</v>
      </c>
      <c r="R41" s="85">
        <f t="shared" si="13"/>
        <v>0.5404774428796755</v>
      </c>
      <c r="S41" s="86">
        <f t="shared" si="13"/>
        <v>-1</v>
      </c>
      <c r="T41" s="84">
        <f t="shared" si="13"/>
        <v>0.5127494098653294</v>
      </c>
      <c r="U41" s="86">
        <f t="shared" si="13"/>
        <v>-0.4568758881964531</v>
      </c>
      <c r="V41" s="390"/>
    </row>
    <row r="42" spans="1:22" ht="15.75">
      <c r="A42" s="100">
        <v>4</v>
      </c>
      <c r="B42" s="101" t="s">
        <v>27</v>
      </c>
      <c r="C42" s="94" t="s">
        <v>16</v>
      </c>
      <c r="D42" s="104">
        <f>E42+F42+G42+H42+I42</f>
        <v>6430</v>
      </c>
      <c r="E42" s="102">
        <f>'[7]Проект тарифн.смета'!$E$34</f>
        <v>4855</v>
      </c>
      <c r="F42" s="103">
        <f>'[7]Проект тарифн.смета'!$F$34</f>
        <v>919</v>
      </c>
      <c r="G42" s="105">
        <f>'[7]Проект тарифн.смета'!$G$34</f>
        <v>19</v>
      </c>
      <c r="H42" s="106">
        <f>'[7]Проект тарифн.смета'!$H$34</f>
        <v>559</v>
      </c>
      <c r="I42" s="103">
        <f>'[7]Проект тарифн.смета'!$I$34</f>
        <v>78</v>
      </c>
      <c r="J42" s="104">
        <f>'[8]исполнение тар.сметы-правда '!$DA$29</f>
        <v>7379.0533131196935</v>
      </c>
      <c r="K42" s="102">
        <f>J42*K72/100</f>
        <v>5736.070812260253</v>
      </c>
      <c r="L42" s="103">
        <f>J42*L72/100</f>
        <v>1011.2221429893716</v>
      </c>
      <c r="M42" s="105">
        <f>J42*M72/100</f>
        <v>0</v>
      </c>
      <c r="N42" s="106">
        <f>J42*N72/100</f>
        <v>601.9234917375394</v>
      </c>
      <c r="O42" s="103">
        <f>J42*O72/100</f>
        <v>29.83686613252881</v>
      </c>
      <c r="P42" s="83">
        <f t="shared" si="13"/>
        <v>0.1475977158817563</v>
      </c>
      <c r="Q42" s="87">
        <f t="shared" si="13"/>
        <v>0.18147699531622097</v>
      </c>
      <c r="R42" s="88">
        <f t="shared" si="13"/>
        <v>0.10035053644110081</v>
      </c>
      <c r="S42" s="83">
        <f t="shared" si="13"/>
        <v>-1</v>
      </c>
      <c r="T42" s="87">
        <f t="shared" si="13"/>
        <v>0.07678621062171631</v>
      </c>
      <c r="U42" s="83">
        <f t="shared" si="13"/>
        <v>-0.6174760752239896</v>
      </c>
      <c r="V42" s="263"/>
    </row>
    <row r="43" spans="1:22" ht="18.75">
      <c r="A43" s="349">
        <v>5</v>
      </c>
      <c r="B43" s="75" t="s">
        <v>6</v>
      </c>
      <c r="C43" s="76" t="s">
        <v>16</v>
      </c>
      <c r="D43" s="90">
        <f>SUM(E43:I43)</f>
        <v>8144.588</v>
      </c>
      <c r="E43" s="78">
        <f>E45+E46</f>
        <v>6151.679758308157</v>
      </c>
      <c r="F43" s="79">
        <f>F45+F46</f>
        <v>1164.1631419939577</v>
      </c>
      <c r="G43" s="80">
        <f>G45+G46</f>
        <v>24.429003021148038</v>
      </c>
      <c r="H43" s="81">
        <f>H45+H46</f>
        <v>706.600084592145</v>
      </c>
      <c r="I43" s="79">
        <f>I45+I46</f>
        <v>97.71601208459215</v>
      </c>
      <c r="J43" s="90">
        <f>SUM(K43:O43)</f>
        <v>9549.649079999996</v>
      </c>
      <c r="K43" s="78">
        <f>K45+K46</f>
        <v>7423.372759446471</v>
      </c>
      <c r="L43" s="79">
        <f>L45+L46</f>
        <v>1308.6796093889989</v>
      </c>
      <c r="M43" s="80">
        <f>M45+M46</f>
        <v>0</v>
      </c>
      <c r="N43" s="81">
        <f>N45+N46</f>
        <v>778.9831398672454</v>
      </c>
      <c r="O43" s="79">
        <f>O45+O46</f>
        <v>38.61357129728127</v>
      </c>
      <c r="P43" s="83">
        <f t="shared" si="13"/>
        <v>0.17251469073696502</v>
      </c>
      <c r="Q43" s="87">
        <f t="shared" si="13"/>
        <v>0.2067228872603175</v>
      </c>
      <c r="R43" s="88">
        <f t="shared" si="13"/>
        <v>0.1241376420383109</v>
      </c>
      <c r="S43" s="83">
        <f t="shared" si="13"/>
        <v>-1</v>
      </c>
      <c r="T43" s="87">
        <f t="shared" si="13"/>
        <v>0.10243850355166662</v>
      </c>
      <c r="U43" s="83">
        <f t="shared" si="13"/>
        <v>-0.6048388542109788</v>
      </c>
      <c r="V43" s="261"/>
    </row>
    <row r="44" spans="1:22" ht="14.25" customHeight="1">
      <c r="A44" s="349"/>
      <c r="B44" s="62" t="s">
        <v>14</v>
      </c>
      <c r="C44" s="63" t="s">
        <v>16</v>
      </c>
      <c r="D44" s="273"/>
      <c r="E44" s="268"/>
      <c r="F44" s="269"/>
      <c r="G44" s="270"/>
      <c r="H44" s="271"/>
      <c r="I44" s="269"/>
      <c r="J44" s="89"/>
      <c r="K44" s="268"/>
      <c r="L44" s="269"/>
      <c r="M44" s="270"/>
      <c r="N44" s="271"/>
      <c r="O44" s="269"/>
      <c r="P44" s="83"/>
      <c r="Q44" s="84"/>
      <c r="R44" s="85"/>
      <c r="S44" s="86"/>
      <c r="T44" s="84"/>
      <c r="U44" s="86"/>
      <c r="V44" s="261"/>
    </row>
    <row r="45" spans="1:22" ht="31.5">
      <c r="A45" s="19" t="s">
        <v>28</v>
      </c>
      <c r="B45" s="9" t="s">
        <v>29</v>
      </c>
      <c r="C45" s="107" t="s">
        <v>16</v>
      </c>
      <c r="D45" s="110">
        <f>E45+F45+G45+H45+I45</f>
        <v>7672</v>
      </c>
      <c r="E45" s="108">
        <f>'[7]Проект тарифн.смета'!$E$37</f>
        <v>5793</v>
      </c>
      <c r="F45" s="109">
        <f>'[7]Проект тарифн.смета'!$F$37</f>
        <v>1097</v>
      </c>
      <c r="G45" s="98">
        <f>'[7]Проект тарифн.смета'!$G$37</f>
        <v>23</v>
      </c>
      <c r="H45" s="111">
        <f>'[7]Проект тарифн.смета'!$H$37</f>
        <v>667</v>
      </c>
      <c r="I45" s="109">
        <f>'[7]Проект тарифн.смета'!$I$37</f>
        <v>92</v>
      </c>
      <c r="J45" s="110">
        <f>'[8]исполнение тар.сметы-правда '!$DA$32</f>
        <v>8390.762945099998</v>
      </c>
      <c r="K45" s="108">
        <f>J45*$K$72/100</f>
        <v>6522.518320393421</v>
      </c>
      <c r="L45" s="109">
        <f>J45*$L$72/100</f>
        <v>1149.8663753484389</v>
      </c>
      <c r="M45" s="98">
        <f>J45*$M$72/100</f>
        <v>0</v>
      </c>
      <c r="N45" s="111">
        <f>J45*$N$72/100</f>
        <v>684.4505813878277</v>
      </c>
      <c r="O45" s="109">
        <f>J45*$O$72/100</f>
        <v>33.92766797030877</v>
      </c>
      <c r="P45" s="86">
        <f aca="true" t="shared" si="14" ref="P45:U47">J45/D45-1</f>
        <v>0.09368651526329486</v>
      </c>
      <c r="Q45" s="84">
        <f t="shared" si="14"/>
        <v>0.12593100645493194</v>
      </c>
      <c r="R45" s="85">
        <f t="shared" si="14"/>
        <v>0.04819177333494884</v>
      </c>
      <c r="S45" s="86">
        <f t="shared" si="14"/>
        <v>-1</v>
      </c>
      <c r="T45" s="84">
        <f t="shared" si="14"/>
        <v>0.026162790686398374</v>
      </c>
      <c r="U45" s="86">
        <f t="shared" si="14"/>
        <v>-0.6312210003227308</v>
      </c>
      <c r="V45" s="138" t="s">
        <v>129</v>
      </c>
    </row>
    <row r="46" spans="1:22" ht="18.75" outlineLevel="1">
      <c r="A46" s="61" t="s">
        <v>66</v>
      </c>
      <c r="B46" s="62" t="s">
        <v>118</v>
      </c>
      <c r="C46" s="63" t="s">
        <v>16</v>
      </c>
      <c r="D46" s="89">
        <f>E46+F46+G46+H46+I46</f>
        <v>472.588</v>
      </c>
      <c r="E46" s="65">
        <f>'[7]Проект тарифн.смета'!$E$38</f>
        <v>358.6797583081571</v>
      </c>
      <c r="F46" s="66">
        <f>'[7]Проект тарифн.смета'!$F$38</f>
        <v>67.16314199395771</v>
      </c>
      <c r="G46" s="68">
        <f>'[7]Проект тарифн.смета'!$G$38</f>
        <v>1.4290030211480362</v>
      </c>
      <c r="H46" s="69">
        <f>'[7]Проект тарифн.смета'!$H$38</f>
        <v>39.600084592145016</v>
      </c>
      <c r="I46" s="67">
        <f>'[7]Проект тарифн.смета'!$I$38</f>
        <v>5.716012084592145</v>
      </c>
      <c r="J46" s="89">
        <f>'[8]исполнение тар.сметы-правда '!$DA$33</f>
        <v>1158.8861348999997</v>
      </c>
      <c r="K46" s="65">
        <f>J46*K72/100</f>
        <v>900.8544390530493</v>
      </c>
      <c r="L46" s="66">
        <f>J46*L72/100</f>
        <v>158.81323404056005</v>
      </c>
      <c r="M46" s="68">
        <f>J46*M72/100</f>
        <v>0</v>
      </c>
      <c r="N46" s="69">
        <f>J46*N72/100</f>
        <v>94.53255847941777</v>
      </c>
      <c r="O46" s="67">
        <f>J46*O72/100</f>
        <v>4.6859033269724994</v>
      </c>
      <c r="P46" s="86">
        <f t="shared" si="14"/>
        <v>1.4522123602376693</v>
      </c>
      <c r="Q46" s="84">
        <f t="shared" si="14"/>
        <v>1.5115842703314382</v>
      </c>
      <c r="R46" s="85">
        <f t="shared" si="14"/>
        <v>1.3645891083363488</v>
      </c>
      <c r="S46" s="86">
        <f t="shared" si="14"/>
        <v>-1</v>
      </c>
      <c r="T46" s="84">
        <f t="shared" si="14"/>
        <v>1.387180720774749</v>
      </c>
      <c r="U46" s="86">
        <f t="shared" si="14"/>
        <v>-0.1802145870888492</v>
      </c>
      <c r="V46" s="261"/>
    </row>
    <row r="47" spans="1:22" ht="24" customHeight="1">
      <c r="A47" s="349">
        <v>6</v>
      </c>
      <c r="B47" s="112" t="s">
        <v>30</v>
      </c>
      <c r="C47" s="113" t="s">
        <v>16</v>
      </c>
      <c r="D47" s="104">
        <f>SUM(E47:I47)</f>
        <v>23779.791000000005</v>
      </c>
      <c r="E47" s="102">
        <f>E49+E51+E52+E53+E54+E55+E60+E61+E62+E63+E64+E65+E50</f>
        <v>17950.855068576686</v>
      </c>
      <c r="F47" s="106">
        <f>F49+F51+F52+F53+F54+F55+F60+F61+F62+F63+F64+F65+F50</f>
        <v>3399.7470001277125</v>
      </c>
      <c r="G47" s="102">
        <f>G49+G51+G52+G53+G54+G55+G60+G61+G62+G63+G64+G65+G50</f>
        <v>70.45354846341263</v>
      </c>
      <c r="H47" s="114">
        <f>H49+H51+H52+H53+H54+H55+H60+H61+H62+H63+H64+H65+H50</f>
        <v>2082.778965289758</v>
      </c>
      <c r="I47" s="82">
        <f>I49+I51+I52+I53+I54+I55+I60+I61+I62+I63+I64+I65+I50</f>
        <v>275.9564175424322</v>
      </c>
      <c r="J47" s="104">
        <f aca="true" t="shared" si="15" ref="J47:O47">J49+J51+J52+J53+J54+J55+J60+J61+J62+J63+J64+J65+J50</f>
        <v>33119.33825109024</v>
      </c>
      <c r="K47" s="102">
        <f t="shared" si="15"/>
        <v>25745.15475117718</v>
      </c>
      <c r="L47" s="106">
        <f t="shared" si="15"/>
        <v>4538.659199156553</v>
      </c>
      <c r="M47" s="102">
        <f t="shared" si="15"/>
        <v>0</v>
      </c>
      <c r="N47" s="114">
        <f t="shared" si="15"/>
        <v>2701.6077643305025</v>
      </c>
      <c r="O47" s="82">
        <f t="shared" si="15"/>
        <v>133.91653642599064</v>
      </c>
      <c r="P47" s="83">
        <f t="shared" si="14"/>
        <v>0.39275144390841077</v>
      </c>
      <c r="Q47" s="87">
        <f t="shared" si="14"/>
        <v>0.43420213983257905</v>
      </c>
      <c r="R47" s="88">
        <f t="shared" si="14"/>
        <v>0.3349991040468767</v>
      </c>
      <c r="S47" s="83">
        <f t="shared" si="14"/>
        <v>-1</v>
      </c>
      <c r="T47" s="87">
        <f t="shared" si="14"/>
        <v>0.29711688535065095</v>
      </c>
      <c r="U47" s="83">
        <f t="shared" si="14"/>
        <v>-0.5147185283147144</v>
      </c>
      <c r="V47" s="261"/>
    </row>
    <row r="48" spans="1:22" ht="18.75">
      <c r="A48" s="349"/>
      <c r="B48" s="62" t="s">
        <v>14</v>
      </c>
      <c r="C48" s="63" t="s">
        <v>16</v>
      </c>
      <c r="D48" s="273"/>
      <c r="E48" s="268"/>
      <c r="F48" s="269"/>
      <c r="G48" s="270"/>
      <c r="H48" s="271"/>
      <c r="I48" s="272"/>
      <c r="J48" s="89"/>
      <c r="K48" s="268"/>
      <c r="L48" s="269"/>
      <c r="M48" s="270"/>
      <c r="N48" s="271"/>
      <c r="O48" s="272"/>
      <c r="P48" s="83"/>
      <c r="Q48" s="84"/>
      <c r="R48" s="85"/>
      <c r="S48" s="86"/>
      <c r="T48" s="84"/>
      <c r="U48" s="86"/>
      <c r="V48" s="261"/>
    </row>
    <row r="49" spans="1:22" ht="15.75">
      <c r="A49" s="61" t="s">
        <v>31</v>
      </c>
      <c r="B49" s="62" t="s">
        <v>8</v>
      </c>
      <c r="C49" s="63" t="s">
        <v>16</v>
      </c>
      <c r="D49" s="89">
        <f aca="true" t="shared" si="16" ref="D49:D54">E49+F49+G49+H49+I49</f>
        <v>310.80499999999995</v>
      </c>
      <c r="E49" s="65">
        <f>'[7]Проект тарифн.смета'!$E$41</f>
        <v>234.07712765957444</v>
      </c>
      <c r="F49" s="66">
        <f>'[7]Проект тарифн.смета'!$F$41</f>
        <v>44.66489361702128</v>
      </c>
      <c r="G49" s="68">
        <f>'[7]Проект тарифн.смета'!$G$41</f>
        <v>0.9271276595744681</v>
      </c>
      <c r="H49" s="69">
        <f>'[7]Проект тарифн.смета'!$H$41</f>
        <v>27.000212765957446</v>
      </c>
      <c r="I49" s="67">
        <f>'[7]Проект тарифн.смета'!$I$41</f>
        <v>4.13563829787234</v>
      </c>
      <c r="J49" s="89">
        <f>'[8]исполнение тар.сметы-правда '!$DA$36</f>
        <v>326.51822033999997</v>
      </c>
      <c r="K49" s="65">
        <f aca="true" t="shared" si="17" ref="K49:K65">J49*$K$72/100</f>
        <v>253.8173331846553</v>
      </c>
      <c r="L49" s="66">
        <f aca="true" t="shared" si="18" ref="L49:L65">J49*$L$72/100</f>
        <v>44.745909873050785</v>
      </c>
      <c r="M49" s="68">
        <f aca="true" t="shared" si="19" ref="M49:M65">J49*$M$72/100</f>
        <v>0</v>
      </c>
      <c r="N49" s="69">
        <f aca="true" t="shared" si="20" ref="N49:N65">J49*$N$72/100</f>
        <v>26.634715723430368</v>
      </c>
      <c r="O49" s="67">
        <f aca="true" t="shared" si="21" ref="O49:O65">J49*$O$72/100</f>
        <v>1.3202615588634787</v>
      </c>
      <c r="P49" s="86">
        <f aca="true" t="shared" si="22" ref="P49:U51">J49/D49-1</f>
        <v>0.05055652367239927</v>
      </c>
      <c r="Q49" s="84">
        <f t="shared" si="22"/>
        <v>0.08433205637156327</v>
      </c>
      <c r="R49" s="85">
        <f t="shared" si="22"/>
        <v>0.0018138687785576035</v>
      </c>
      <c r="S49" s="86">
        <f t="shared" si="22"/>
        <v>-1</v>
      </c>
      <c r="T49" s="84">
        <f t="shared" si="22"/>
        <v>-0.01353682082786789</v>
      </c>
      <c r="U49" s="86">
        <f t="shared" si="22"/>
        <v>-0.6807599060240077</v>
      </c>
      <c r="V49" s="264"/>
    </row>
    <row r="50" spans="1:22" ht="48" customHeight="1">
      <c r="A50" s="61" t="s">
        <v>32</v>
      </c>
      <c r="B50" s="62" t="s">
        <v>33</v>
      </c>
      <c r="C50" s="63" t="s">
        <v>16</v>
      </c>
      <c r="D50" s="89">
        <f t="shared" si="16"/>
        <v>1836</v>
      </c>
      <c r="E50" s="65">
        <f>'[7]Проект тарифн.смета'!$E$42</f>
        <v>1385</v>
      </c>
      <c r="F50" s="66">
        <f>'[7]Проект тарифн.смета'!$F$42</f>
        <v>263</v>
      </c>
      <c r="G50" s="68">
        <f>'[7]Проект тарифн.смета'!$G$42</f>
        <v>6</v>
      </c>
      <c r="H50" s="69">
        <f>'[7]Проект тарифн.смета'!$H$42</f>
        <v>160</v>
      </c>
      <c r="I50" s="67">
        <f>'[7]Проект тарифн.смета'!$I$42</f>
        <v>22</v>
      </c>
      <c r="J50" s="89">
        <f>'[8]исполнение тар.сметы-правда '!$DA$37</f>
        <v>2540.601962662969</v>
      </c>
      <c r="K50" s="65">
        <f t="shared" si="17"/>
        <v>1974.9244442632996</v>
      </c>
      <c r="L50" s="66">
        <f t="shared" si="18"/>
        <v>348.1629488432154</v>
      </c>
      <c r="M50" s="68">
        <f t="shared" si="19"/>
        <v>0</v>
      </c>
      <c r="N50" s="69">
        <f t="shared" si="20"/>
        <v>207.24176118397082</v>
      </c>
      <c r="O50" s="67">
        <f t="shared" si="21"/>
        <v>10.272808372483075</v>
      </c>
      <c r="P50" s="86">
        <f t="shared" si="22"/>
        <v>0.38377013216937317</v>
      </c>
      <c r="Q50" s="84">
        <f t="shared" si="22"/>
        <v>0.42593822690490946</v>
      </c>
      <c r="R50" s="85">
        <f t="shared" si="22"/>
        <v>0.3238134937004389</v>
      </c>
      <c r="S50" s="86">
        <f t="shared" si="22"/>
        <v>-1</v>
      </c>
      <c r="T50" s="84">
        <f t="shared" si="22"/>
        <v>0.29526100739981764</v>
      </c>
      <c r="U50" s="86">
        <f t="shared" si="22"/>
        <v>-0.533054164887133</v>
      </c>
      <c r="V50" s="228" t="s">
        <v>136</v>
      </c>
    </row>
    <row r="51" spans="1:23" ht="18.75">
      <c r="A51" s="61" t="s">
        <v>34</v>
      </c>
      <c r="B51" s="62" t="s">
        <v>35</v>
      </c>
      <c r="C51" s="63" t="s">
        <v>16</v>
      </c>
      <c r="D51" s="89">
        <f t="shared" si="16"/>
        <v>1726.95</v>
      </c>
      <c r="E51" s="65">
        <f>'[7]Проект тарифн.смета'!$E$43</f>
        <v>1304.7879234167895</v>
      </c>
      <c r="F51" s="66">
        <f>'[7]Проект тарифн.смета'!$F$43</f>
        <v>246.7142857142857</v>
      </c>
      <c r="G51" s="68">
        <f>'[7]Проект тарифн.смета'!$G$43</f>
        <v>5.399892488954344</v>
      </c>
      <c r="H51" s="69">
        <f>'[7]Проект тарифн.смета'!$H$43</f>
        <v>149.70032842415316</v>
      </c>
      <c r="I51" s="67">
        <f>'[7]Проект тарифн.смета'!$I$43</f>
        <v>20.347569955817377</v>
      </c>
      <c r="J51" s="89">
        <f>'[8]исполнение тар.сметы-правда '!$DA$38</f>
        <v>2004.1974602268</v>
      </c>
      <c r="K51" s="65">
        <f t="shared" si="17"/>
        <v>1557.953041641969</v>
      </c>
      <c r="L51" s="66">
        <f t="shared" si="18"/>
        <v>274.65431739069027</v>
      </c>
      <c r="M51" s="68">
        <f t="shared" si="19"/>
        <v>0</v>
      </c>
      <c r="N51" s="69">
        <f t="shared" si="20"/>
        <v>163.48622000688553</v>
      </c>
      <c r="O51" s="67">
        <f t="shared" si="21"/>
        <v>8.103881187254853</v>
      </c>
      <c r="P51" s="86">
        <f t="shared" si="22"/>
        <v>0.16054168344584396</v>
      </c>
      <c r="Q51" s="84">
        <f t="shared" si="22"/>
        <v>0.19402779078628152</v>
      </c>
      <c r="R51" s="85">
        <f t="shared" si="22"/>
        <v>0.11324853603638219</v>
      </c>
      <c r="S51" s="86">
        <f t="shared" si="22"/>
        <v>-1</v>
      </c>
      <c r="T51" s="84">
        <f t="shared" si="22"/>
        <v>0.09208992209871547</v>
      </c>
      <c r="U51" s="86">
        <f t="shared" si="22"/>
        <v>-0.6017273215007205</v>
      </c>
      <c r="V51" s="261"/>
      <c r="W51" s="115"/>
    </row>
    <row r="52" spans="1:22" ht="35.25" customHeight="1" hidden="1">
      <c r="A52" s="61"/>
      <c r="B52" s="62"/>
      <c r="C52" s="63"/>
      <c r="D52" s="273"/>
      <c r="E52" s="268"/>
      <c r="F52" s="269"/>
      <c r="G52" s="270"/>
      <c r="H52" s="271"/>
      <c r="I52" s="272"/>
      <c r="J52" s="89"/>
      <c r="K52" s="268">
        <f t="shared" si="17"/>
        <v>0</v>
      </c>
      <c r="L52" s="269">
        <f t="shared" si="18"/>
        <v>0</v>
      </c>
      <c r="M52" s="270">
        <f t="shared" si="19"/>
        <v>0</v>
      </c>
      <c r="N52" s="271">
        <f t="shared" si="20"/>
        <v>0</v>
      </c>
      <c r="O52" s="272">
        <f t="shared" si="21"/>
        <v>0</v>
      </c>
      <c r="P52" s="86"/>
      <c r="Q52" s="84"/>
      <c r="R52" s="85"/>
      <c r="S52" s="86"/>
      <c r="T52" s="84"/>
      <c r="U52" s="86"/>
      <c r="V52" s="261"/>
    </row>
    <row r="53" spans="1:22" ht="18.75">
      <c r="A53" s="116" t="s">
        <v>36</v>
      </c>
      <c r="B53" s="62" t="s">
        <v>9</v>
      </c>
      <c r="C53" s="63" t="s">
        <v>16</v>
      </c>
      <c r="D53" s="89">
        <f t="shared" si="16"/>
        <v>4194.804</v>
      </c>
      <c r="E53" s="65">
        <f>'[7]Проект тарифн.смета'!$E$44</f>
        <v>3166.989143078713</v>
      </c>
      <c r="F53" s="66">
        <f>'[7]Проект тарифн.смета'!$F$44</f>
        <v>599.8898797983715</v>
      </c>
      <c r="G53" s="68">
        <f>'[7]Проект тарифн.смета'!$G$44</f>
        <v>12.900475765800698</v>
      </c>
      <c r="H53" s="69">
        <f>'[7]Проект тарифн.смета'!$H$44</f>
        <v>364.5999181853432</v>
      </c>
      <c r="I53" s="67">
        <f>'[7]Проект тарифн.смета'!$I$44</f>
        <v>50.42458317177201</v>
      </c>
      <c r="J53" s="89">
        <f>'[8]исполнение тар.сметы-правда '!$DA$39</f>
        <v>5173.281340822599</v>
      </c>
      <c r="K53" s="65">
        <f t="shared" si="17"/>
        <v>4021.424814744628</v>
      </c>
      <c r="L53" s="66">
        <f t="shared" si="18"/>
        <v>708.9441452404781</v>
      </c>
      <c r="M53" s="68">
        <f t="shared" si="19"/>
        <v>0</v>
      </c>
      <c r="N53" s="69">
        <f t="shared" si="20"/>
        <v>421.9944532548858</v>
      </c>
      <c r="O53" s="67">
        <f t="shared" si="21"/>
        <v>20.917927582606872</v>
      </c>
      <c r="P53" s="86">
        <f aca="true" t="shared" si="23" ref="P53:U55">J53/D53-1</f>
        <v>0.23325937059814938</v>
      </c>
      <c r="Q53" s="84">
        <f t="shared" si="23"/>
        <v>0.26979431664085074</v>
      </c>
      <c r="R53" s="85">
        <f t="shared" si="23"/>
        <v>0.18179047374288215</v>
      </c>
      <c r="S53" s="86">
        <f t="shared" si="23"/>
        <v>-1</v>
      </c>
      <c r="T53" s="84">
        <f t="shared" si="23"/>
        <v>0.15741784955740523</v>
      </c>
      <c r="U53" s="86">
        <f t="shared" si="23"/>
        <v>-0.585164095232088</v>
      </c>
      <c r="V53" s="261"/>
    </row>
    <row r="54" spans="1:22" ht="18.75">
      <c r="A54" s="61" t="s">
        <v>37</v>
      </c>
      <c r="B54" s="62" t="s">
        <v>10</v>
      </c>
      <c r="C54" s="63" t="s">
        <v>16</v>
      </c>
      <c r="D54" s="89">
        <f t="shared" si="16"/>
        <v>3346</v>
      </c>
      <c r="E54" s="65">
        <f>'[7]Проект тарифн.смета'!$E$45</f>
        <v>2526</v>
      </c>
      <c r="F54" s="66">
        <f>'[7]Проект тарифн.смета'!$F$45</f>
        <v>479</v>
      </c>
      <c r="G54" s="68">
        <f>'[7]Проект тарифн.смета'!$G$45</f>
        <v>10</v>
      </c>
      <c r="H54" s="69">
        <f>'[7]Проект тарифн.смета'!$H$45</f>
        <v>291</v>
      </c>
      <c r="I54" s="67">
        <f>'[7]Проект тарифн.смета'!$I$45</f>
        <v>40</v>
      </c>
      <c r="J54" s="89">
        <f>'[8]исполнение тар.сметы-правда '!$DA$40</f>
        <v>4796.2616010659995</v>
      </c>
      <c r="K54" s="65">
        <f t="shared" si="17"/>
        <v>3728.3503737429965</v>
      </c>
      <c r="L54" s="66">
        <f t="shared" si="18"/>
        <v>657.2775298891412</v>
      </c>
      <c r="M54" s="68">
        <f t="shared" si="19"/>
        <v>0</v>
      </c>
      <c r="N54" s="69">
        <f t="shared" si="20"/>
        <v>391.24023200474454</v>
      </c>
      <c r="O54" s="67">
        <f t="shared" si="21"/>
        <v>19.393465429116524</v>
      </c>
      <c r="P54" s="86">
        <f t="shared" si="23"/>
        <v>0.4334314408445903</v>
      </c>
      <c r="Q54" s="84">
        <f t="shared" si="23"/>
        <v>0.4759898550051451</v>
      </c>
      <c r="R54" s="85">
        <f t="shared" si="23"/>
        <v>0.37218690999820714</v>
      </c>
      <c r="S54" s="86">
        <f t="shared" si="23"/>
        <v>-1</v>
      </c>
      <c r="T54" s="84">
        <f t="shared" si="23"/>
        <v>0.3444681512190535</v>
      </c>
      <c r="U54" s="86">
        <f t="shared" si="23"/>
        <v>-0.5151633642720869</v>
      </c>
      <c r="V54" s="261"/>
    </row>
    <row r="55" spans="1:22" ht="18.75" customHeight="1">
      <c r="A55" s="348" t="s">
        <v>38</v>
      </c>
      <c r="B55" s="62" t="s">
        <v>39</v>
      </c>
      <c r="C55" s="63" t="s">
        <v>16</v>
      </c>
      <c r="D55" s="89">
        <f>SUM(E55:I55)</f>
        <v>637.2340000000002</v>
      </c>
      <c r="E55" s="65">
        <f>'[7]Проект тарифн.смета'!$E$46</f>
        <v>482.1129575113809</v>
      </c>
      <c r="F55" s="66">
        <f>'[7]Проект тарифн.смета'!$F$46</f>
        <v>90.74506828528074</v>
      </c>
      <c r="G55" s="68">
        <f>'[7]Проект тарифн.смета'!$G$46</f>
        <v>1.8000440060698029</v>
      </c>
      <c r="H55" s="69">
        <f>'[7]Проект тарифн.смета'!$H$46</f>
        <v>54.29975417298938</v>
      </c>
      <c r="I55" s="67">
        <f>'[7]Проект тарифн.смета'!$I$46</f>
        <v>8.276176024279211</v>
      </c>
      <c r="J55" s="89">
        <f>J57+J58+J59</f>
        <v>651.034239721866</v>
      </c>
      <c r="K55" s="65">
        <f t="shared" si="17"/>
        <v>506.07826529875433</v>
      </c>
      <c r="L55" s="66">
        <f t="shared" si="18"/>
        <v>89.2174390284586</v>
      </c>
      <c r="M55" s="68">
        <f t="shared" si="19"/>
        <v>0</v>
      </c>
      <c r="N55" s="69">
        <f t="shared" si="20"/>
        <v>53.106108085348026</v>
      </c>
      <c r="O55" s="67">
        <f t="shared" si="21"/>
        <v>2.6324273093050228</v>
      </c>
      <c r="P55" s="86">
        <f t="shared" si="23"/>
        <v>0.021656471126565435</v>
      </c>
      <c r="Q55" s="84">
        <f t="shared" si="23"/>
        <v>0.04970890620961521</v>
      </c>
      <c r="R55" s="85">
        <f t="shared" si="23"/>
        <v>-0.016834295082787776</v>
      </c>
      <c r="S55" s="86">
        <f t="shared" si="23"/>
        <v>-1</v>
      </c>
      <c r="T55" s="84">
        <f t="shared" si="23"/>
        <v>-0.02198253207258749</v>
      </c>
      <c r="U55" s="86">
        <f t="shared" si="23"/>
        <v>-0.6819270999574606</v>
      </c>
      <c r="V55" s="333"/>
    </row>
    <row r="56" spans="1:22" ht="19.5" customHeight="1">
      <c r="A56" s="348"/>
      <c r="B56" s="62" t="s">
        <v>14</v>
      </c>
      <c r="C56" s="63" t="s">
        <v>16</v>
      </c>
      <c r="D56" s="273"/>
      <c r="E56" s="268"/>
      <c r="F56" s="269"/>
      <c r="G56" s="270"/>
      <c r="H56" s="271"/>
      <c r="I56" s="272"/>
      <c r="J56" s="89"/>
      <c r="K56" s="268"/>
      <c r="L56" s="269"/>
      <c r="M56" s="270"/>
      <c r="N56" s="271"/>
      <c r="O56" s="272"/>
      <c r="P56" s="86"/>
      <c r="Q56" s="84"/>
      <c r="R56" s="85"/>
      <c r="S56" s="86"/>
      <c r="T56" s="84"/>
      <c r="U56" s="86"/>
      <c r="V56" s="261"/>
    </row>
    <row r="57" spans="1:22" ht="78.75">
      <c r="A57" s="348"/>
      <c r="B57" s="62" t="s">
        <v>103</v>
      </c>
      <c r="C57" s="63" t="s">
        <v>16</v>
      </c>
      <c r="D57" s="89">
        <f aca="true" t="shared" si="24" ref="D57:D65">E57+F57+G57+H57+I57</f>
        <v>4.421</v>
      </c>
      <c r="E57" s="65">
        <f>'[7]Проект тарифн.смета'!$E$48</f>
        <v>4.421</v>
      </c>
      <c r="F57" s="66">
        <f>'[7]Проект тарифн.смета'!$F$48</f>
        <v>0</v>
      </c>
      <c r="G57" s="68">
        <f>'[7]Проект тарифн.смета'!$G$48</f>
        <v>0</v>
      </c>
      <c r="H57" s="69">
        <f>'[7]Проект тарифн.смета'!$H$48</f>
        <v>0</v>
      </c>
      <c r="I57" s="67">
        <f>'[7]Проект тарифн.смета'!$I$48</f>
        <v>0</v>
      </c>
      <c r="J57" s="89">
        <f>'[8]исполнение тар.сметы-правда '!$DA$43</f>
        <v>7.938216000000001</v>
      </c>
      <c r="K57" s="65">
        <f t="shared" si="17"/>
        <v>6.170733177663754</v>
      </c>
      <c r="L57" s="66">
        <f t="shared" si="18"/>
        <v>1.0878495457893314</v>
      </c>
      <c r="M57" s="68">
        <f t="shared" si="19"/>
        <v>0</v>
      </c>
      <c r="N57" s="69">
        <f t="shared" si="20"/>
        <v>0.6475354615464475</v>
      </c>
      <c r="O57" s="67">
        <f t="shared" si="21"/>
        <v>0.03209781500046691</v>
      </c>
      <c r="P57" s="86">
        <f aca="true" t="shared" si="25" ref="P57:P65">J57/D57-1</f>
        <v>0.795570232978964</v>
      </c>
      <c r="Q57" s="84">
        <f aca="true" t="shared" si="26" ref="Q57:Q65">K57/E57-1</f>
        <v>0.3957776923012337</v>
      </c>
      <c r="R57" s="85"/>
      <c r="S57" s="86"/>
      <c r="T57" s="84"/>
      <c r="U57" s="86"/>
      <c r="V57" s="196" t="s">
        <v>130</v>
      </c>
    </row>
    <row r="58" spans="1:22" ht="31.5">
      <c r="A58" s="348"/>
      <c r="B58" s="62" t="s">
        <v>11</v>
      </c>
      <c r="C58" s="63" t="s">
        <v>16</v>
      </c>
      <c r="D58" s="89">
        <f t="shared" si="24"/>
        <v>114.7</v>
      </c>
      <c r="E58" s="65">
        <f>'[7]Проект тарифн.смета'!$E$49</f>
        <v>87</v>
      </c>
      <c r="F58" s="66">
        <f>'[7]Проект тарифн.смета'!$F$49</f>
        <v>16</v>
      </c>
      <c r="G58" s="68">
        <f>'[7]Проект тарифн.смета'!$G$49</f>
        <v>0</v>
      </c>
      <c r="H58" s="69">
        <f>'[7]Проект тарифн.смета'!$H$49</f>
        <v>9.7</v>
      </c>
      <c r="I58" s="67">
        <f>'[7]Проект тарифн.смета'!$I$49</f>
        <v>2</v>
      </c>
      <c r="J58" s="89">
        <f>'[8]исполнение тар.сметы-правда '!$DA$44</f>
        <v>121.939506</v>
      </c>
      <c r="K58" s="65">
        <f t="shared" si="17"/>
        <v>94.78907544744666</v>
      </c>
      <c r="L58" s="66">
        <f t="shared" si="18"/>
        <v>16.710534988702175</v>
      </c>
      <c r="M58" s="68">
        <f t="shared" si="19"/>
        <v>0</v>
      </c>
      <c r="N58" s="69">
        <f t="shared" si="20"/>
        <v>9.946838722762871</v>
      </c>
      <c r="O58" s="67">
        <f t="shared" si="21"/>
        <v>0.4930568410882652</v>
      </c>
      <c r="P58" s="86">
        <f t="shared" si="25"/>
        <v>0.06311687881429817</v>
      </c>
      <c r="Q58" s="84">
        <f t="shared" si="26"/>
        <v>0.08952960284421452</v>
      </c>
      <c r="R58" s="85">
        <f aca="true" t="shared" si="27" ref="R58:R65">L58/F58-1</f>
        <v>0.04440843679388595</v>
      </c>
      <c r="S58" s="86"/>
      <c r="T58" s="84">
        <f aca="true" t="shared" si="28" ref="T58:U61">N58/H58-1</f>
        <v>0.025447291006481576</v>
      </c>
      <c r="U58" s="86">
        <f t="shared" si="28"/>
        <v>-0.7534715794558674</v>
      </c>
      <c r="V58" s="196" t="s">
        <v>140</v>
      </c>
    </row>
    <row r="59" spans="1:22" ht="71.25" customHeight="1">
      <c r="A59" s="348"/>
      <c r="B59" s="62" t="s">
        <v>40</v>
      </c>
      <c r="C59" s="63" t="s">
        <v>16</v>
      </c>
      <c r="D59" s="89">
        <f t="shared" si="24"/>
        <v>517.113</v>
      </c>
      <c r="E59" s="65">
        <f>'[7]Проект тарифн.смета'!$E$50</f>
        <v>390.6919575113809</v>
      </c>
      <c r="F59" s="66">
        <f>'[7]Проект тарифн.смета'!$F$50</f>
        <v>73.74506828528074</v>
      </c>
      <c r="G59" s="68">
        <f>'[7]Проект тарифн.смета'!$G$50</f>
        <v>1.8000440060698029</v>
      </c>
      <c r="H59" s="69">
        <f>'[7]Проект тарифн.смета'!$H$50</f>
        <v>44.59975417298938</v>
      </c>
      <c r="I59" s="67">
        <f>'[7]Проект тарифн.смета'!$I$50</f>
        <v>6.276176024279211</v>
      </c>
      <c r="J59" s="89">
        <f>'[8]исполнение тар.сметы-правда '!$DA$45</f>
        <v>521.1565177218661</v>
      </c>
      <c r="K59" s="65">
        <f t="shared" si="17"/>
        <v>405.1184566736439</v>
      </c>
      <c r="L59" s="66">
        <f t="shared" si="18"/>
        <v>71.41905449396711</v>
      </c>
      <c r="M59" s="68">
        <f t="shared" si="19"/>
        <v>0</v>
      </c>
      <c r="N59" s="69">
        <f t="shared" si="20"/>
        <v>42.5117339010387</v>
      </c>
      <c r="O59" s="67">
        <f t="shared" si="21"/>
        <v>2.107272653216291</v>
      </c>
      <c r="P59" s="86">
        <f t="shared" si="25"/>
        <v>0.007819408372765846</v>
      </c>
      <c r="Q59" s="84">
        <f t="shared" si="26"/>
        <v>0.03692550840861042</v>
      </c>
      <c r="R59" s="85">
        <f t="shared" si="27"/>
        <v>-0.03154127923938599</v>
      </c>
      <c r="S59" s="86">
        <f>M59/G59-1</f>
        <v>-1</v>
      </c>
      <c r="T59" s="84">
        <f t="shared" si="28"/>
        <v>-0.04681685607171415</v>
      </c>
      <c r="U59" s="86">
        <f t="shared" si="28"/>
        <v>-0.664242582575064</v>
      </c>
      <c r="V59" s="62" t="s">
        <v>144</v>
      </c>
    </row>
    <row r="60" spans="1:22" ht="18.75">
      <c r="A60" s="61" t="s">
        <v>41</v>
      </c>
      <c r="B60" s="62" t="s">
        <v>42</v>
      </c>
      <c r="C60" s="63" t="s">
        <v>16</v>
      </c>
      <c r="D60" s="89">
        <f t="shared" si="24"/>
        <v>9688.845</v>
      </c>
      <c r="E60" s="65">
        <f>'[7]Проект тарифн.смета'!$E$51</f>
        <v>7315.205420520542</v>
      </c>
      <c r="F60" s="66">
        <f>'[7]Проект тарифн.смета'!$F$51</f>
        <v>1385.9292320929233</v>
      </c>
      <c r="G60" s="68">
        <f>'[7]Проект тарифн.смета'!$G$51</f>
        <v>29.40045751774575</v>
      </c>
      <c r="H60" s="69">
        <f>'[7]Проект тарифн.смета'!$H$51</f>
        <v>841.6000597978059</v>
      </c>
      <c r="I60" s="66">
        <f>'[7]Проект тарифн.смета'!$I$51</f>
        <v>116.709830070983</v>
      </c>
      <c r="J60" s="89">
        <f>'[8]исполнение тар.сметы-правда '!$DA$46</f>
        <v>14629.50571446</v>
      </c>
      <c r="K60" s="65">
        <f t="shared" si="17"/>
        <v>11372.174338042678</v>
      </c>
      <c r="L60" s="66">
        <f t="shared" si="18"/>
        <v>2004.8208749418932</v>
      </c>
      <c r="M60" s="68">
        <f t="shared" si="19"/>
        <v>0</v>
      </c>
      <c r="N60" s="69">
        <f t="shared" si="20"/>
        <v>1193.356761142459</v>
      </c>
      <c r="O60" s="66">
        <f t="shared" si="21"/>
        <v>59.15374033296783</v>
      </c>
      <c r="P60" s="73">
        <f t="shared" si="25"/>
        <v>0.5099328882297116</v>
      </c>
      <c r="Q60" s="71">
        <f t="shared" si="26"/>
        <v>0.5545939839422098</v>
      </c>
      <c r="R60" s="72">
        <f t="shared" si="27"/>
        <v>0.44655356746777586</v>
      </c>
      <c r="S60" s="73">
        <f>M60/G60-1</f>
        <v>-1</v>
      </c>
      <c r="T60" s="71">
        <f t="shared" si="28"/>
        <v>0.41796183026550926</v>
      </c>
      <c r="U60" s="73">
        <f t="shared" si="28"/>
        <v>-0.49315545831066265</v>
      </c>
      <c r="V60" s="261"/>
    </row>
    <row r="61" spans="1:25" ht="31.5">
      <c r="A61" s="61" t="s">
        <v>43</v>
      </c>
      <c r="B61" s="62" t="s">
        <v>44</v>
      </c>
      <c r="C61" s="63" t="s">
        <v>16</v>
      </c>
      <c r="D61" s="89">
        <f t="shared" si="24"/>
        <v>276.86</v>
      </c>
      <c r="E61" s="65">
        <f>'[7]Проект тарифн.смета'!$E$52</f>
        <v>209.70621468926555</v>
      </c>
      <c r="F61" s="66">
        <f>'[7]Проект тарифн.смета'!$F$52</f>
        <v>39.12429378531073</v>
      </c>
      <c r="G61" s="68">
        <f>'[7]Проект тарифн.смета'!$G$52</f>
        <v>1.7999717514124294</v>
      </c>
      <c r="H61" s="69">
        <f>'[7]Проект тарифн.смета'!$H$52</f>
        <v>23.09957627118644</v>
      </c>
      <c r="I61" s="66">
        <f>'[7]Проект тарифн.смета'!$I$52</f>
        <v>3.1299435028248586</v>
      </c>
      <c r="J61" s="89">
        <f>'[8]исполнение тар.сметы-правда '!$DA$47</f>
        <v>400.27248833</v>
      </c>
      <c r="K61" s="65">
        <f t="shared" si="17"/>
        <v>311.14985077805375</v>
      </c>
      <c r="L61" s="66">
        <f t="shared" si="18"/>
        <v>54.85316154432631</v>
      </c>
      <c r="M61" s="68">
        <f t="shared" si="19"/>
        <v>0</v>
      </c>
      <c r="N61" s="69">
        <f t="shared" si="20"/>
        <v>32.650992423878556</v>
      </c>
      <c r="O61" s="66">
        <f t="shared" si="21"/>
        <v>1.6184835837413456</v>
      </c>
      <c r="P61" s="86">
        <f t="shared" si="25"/>
        <v>0.44575774156613446</v>
      </c>
      <c r="Q61" s="84">
        <f t="shared" si="26"/>
        <v>0.48374167756117004</v>
      </c>
      <c r="R61" s="85">
        <f t="shared" si="27"/>
        <v>0.40202304597050653</v>
      </c>
      <c r="S61" s="86"/>
      <c r="T61" s="84">
        <f t="shared" si="28"/>
        <v>0.41348880345507477</v>
      </c>
      <c r="U61" s="86">
        <f t="shared" si="28"/>
        <v>-0.4829032593461765</v>
      </c>
      <c r="V61" s="228" t="s">
        <v>137</v>
      </c>
      <c r="Y61" s="1" t="s">
        <v>69</v>
      </c>
    </row>
    <row r="62" spans="1:22" ht="63">
      <c r="A62" s="93" t="s">
        <v>65</v>
      </c>
      <c r="B62" s="92" t="s">
        <v>45</v>
      </c>
      <c r="C62" s="94" t="s">
        <v>16</v>
      </c>
      <c r="D62" s="97">
        <f t="shared" si="24"/>
        <v>908.4</v>
      </c>
      <c r="E62" s="95">
        <f>'[7]Проект тарифн.смета'!$E$53</f>
        <v>681</v>
      </c>
      <c r="F62" s="96">
        <f>'[7]Проект тарифн.смета'!$F$53</f>
        <v>113.5</v>
      </c>
      <c r="G62" s="98">
        <f>'[7]Проект тарифн.смета'!$G$53</f>
        <v>0.4</v>
      </c>
      <c r="H62" s="95">
        <f>'[7]Проект тарифн.смета'!$H$53</f>
        <v>113.5</v>
      </c>
      <c r="I62" s="96">
        <f>'[7]Проект тарифн.смета'!$I$53</f>
        <v>0</v>
      </c>
      <c r="J62" s="97">
        <f>'[8]исполнение тар.сметы-правда '!$DA$48</f>
        <v>984.6389907899999</v>
      </c>
      <c r="K62" s="95">
        <f t="shared" si="17"/>
        <v>765.404278302481</v>
      </c>
      <c r="L62" s="96">
        <f t="shared" si="18"/>
        <v>134.93448388118523</v>
      </c>
      <c r="M62" s="98">
        <f t="shared" si="19"/>
        <v>0</v>
      </c>
      <c r="N62" s="95">
        <f t="shared" si="20"/>
        <v>80.3188856737875</v>
      </c>
      <c r="O62" s="96">
        <f t="shared" si="21"/>
        <v>3.981342932546035</v>
      </c>
      <c r="P62" s="86">
        <f t="shared" si="25"/>
        <v>0.08392667414134736</v>
      </c>
      <c r="Q62" s="84">
        <f t="shared" si="26"/>
        <v>0.12394167151612479</v>
      </c>
      <c r="R62" s="85">
        <f t="shared" si="27"/>
        <v>0.188850078248328</v>
      </c>
      <c r="S62" s="86"/>
      <c r="T62" s="84">
        <f>N62/H62-1</f>
        <v>-0.292344619614207</v>
      </c>
      <c r="U62" s="86"/>
      <c r="V62" s="235" t="s">
        <v>261</v>
      </c>
    </row>
    <row r="63" spans="1:22" ht="63">
      <c r="A63" s="61" t="s">
        <v>46</v>
      </c>
      <c r="B63" s="62" t="s">
        <v>62</v>
      </c>
      <c r="C63" s="63" t="s">
        <v>16</v>
      </c>
      <c r="D63" s="89">
        <f t="shared" si="24"/>
        <v>187.893</v>
      </c>
      <c r="E63" s="65">
        <f>'[7]Проект тарифн.смета'!$E$54</f>
        <v>142.6206896551724</v>
      </c>
      <c r="F63" s="66">
        <f>'[7]Проект тарифн.смета'!$F$54</f>
        <v>25.93103448275862</v>
      </c>
      <c r="G63" s="68">
        <f>'[7]Проект тарифн.смета'!$G$54</f>
        <v>0</v>
      </c>
      <c r="H63" s="65">
        <f>'[7]Проект тарифн.смета'!$H$54</f>
        <v>16.09989655172414</v>
      </c>
      <c r="I63" s="66">
        <f>'[7]Проект тарифн.смета'!$I$54</f>
        <v>3.2413793103448274</v>
      </c>
      <c r="J63" s="89">
        <f>'[8]исполнение тар.сметы-правда '!$DA$49</f>
        <v>306.7953723899999</v>
      </c>
      <c r="K63" s="65">
        <f t="shared" si="17"/>
        <v>238.4858743023217</v>
      </c>
      <c r="L63" s="66">
        <f t="shared" si="18"/>
        <v>42.043099671857014</v>
      </c>
      <c r="M63" s="68">
        <f t="shared" si="19"/>
        <v>0</v>
      </c>
      <c r="N63" s="65">
        <f t="shared" si="20"/>
        <v>25.025885294740377</v>
      </c>
      <c r="O63" s="66">
        <f t="shared" si="21"/>
        <v>1.2405131210808031</v>
      </c>
      <c r="P63" s="86">
        <f t="shared" si="25"/>
        <v>0.632819596206351</v>
      </c>
      <c r="Q63" s="84">
        <f t="shared" si="26"/>
        <v>0.6721688478644412</v>
      </c>
      <c r="R63" s="85">
        <f t="shared" si="27"/>
        <v>0.6213429394732095</v>
      </c>
      <c r="S63" s="86"/>
      <c r="T63" s="84">
        <f>N63/H63-1</f>
        <v>0.5544128009978022</v>
      </c>
      <c r="U63" s="86">
        <f>O63/I63-1</f>
        <v>-0.6172885051984756</v>
      </c>
      <c r="V63" s="228" t="s">
        <v>145</v>
      </c>
    </row>
    <row r="64" spans="1:22" ht="18.75">
      <c r="A64" s="61" t="s">
        <v>61</v>
      </c>
      <c r="B64" s="62" t="s">
        <v>47</v>
      </c>
      <c r="C64" s="63" t="s">
        <v>16</v>
      </c>
      <c r="D64" s="89">
        <f t="shared" si="24"/>
        <v>88.00000000000001</v>
      </c>
      <c r="E64" s="65">
        <f>'[7]Проект тарифн.смета'!$E$55</f>
        <v>66.34920634920636</v>
      </c>
      <c r="F64" s="66">
        <f>'[7]Проект тарифн.смета'!$F$55</f>
        <v>12.571428571428571</v>
      </c>
      <c r="G64" s="68">
        <f>'[7]Проект тарифн.смета'!$G$55</f>
        <v>0.3492063492063492</v>
      </c>
      <c r="H64" s="65">
        <f>'[7]Проект тарифн.смета'!$H$55</f>
        <v>7.682539682539682</v>
      </c>
      <c r="I64" s="66">
        <f>'[7]Проект тарифн.смета'!$I$55</f>
        <v>1.0476190476190474</v>
      </c>
      <c r="J64" s="89">
        <f>'[8]исполнение тар.сметы-правда '!$DA$50</f>
        <v>406.47996642</v>
      </c>
      <c r="K64" s="65">
        <f t="shared" si="17"/>
        <v>315.97520335092196</v>
      </c>
      <c r="L64" s="66">
        <f t="shared" si="18"/>
        <v>55.703831546339835</v>
      </c>
      <c r="M64" s="68">
        <f t="shared" si="19"/>
        <v>0</v>
      </c>
      <c r="N64" s="65">
        <f t="shared" si="20"/>
        <v>33.15734828394177</v>
      </c>
      <c r="O64" s="66">
        <f t="shared" si="21"/>
        <v>1.6435832387963694</v>
      </c>
      <c r="P64" s="86">
        <f t="shared" si="25"/>
        <v>3.619090527499999</v>
      </c>
      <c r="Q64" s="84">
        <f t="shared" si="26"/>
        <v>3.7623056964373403</v>
      </c>
      <c r="R64" s="85">
        <f t="shared" si="27"/>
        <v>3.4309866002770324</v>
      </c>
      <c r="S64" s="86">
        <f>M64/G64-1</f>
        <v>-1</v>
      </c>
      <c r="T64" s="84">
        <f>N64/H64-1</f>
        <v>3.315935830347793</v>
      </c>
      <c r="U64" s="86">
        <f>O64/I64-1</f>
        <v>0.5688749097601711</v>
      </c>
      <c r="V64" s="261"/>
    </row>
    <row r="65" spans="1:22" ht="18.75">
      <c r="A65" s="93" t="s">
        <v>48</v>
      </c>
      <c r="B65" s="92" t="s">
        <v>7</v>
      </c>
      <c r="C65" s="94" t="s">
        <v>16</v>
      </c>
      <c r="D65" s="97">
        <f t="shared" si="24"/>
        <v>578</v>
      </c>
      <c r="E65" s="95">
        <f>'[7]Проект тарифн.смета'!$E$56</f>
        <v>437.00638569604087</v>
      </c>
      <c r="F65" s="96">
        <f>'[7]Проект тарифн.смета'!$F$56</f>
        <v>98.67688378033205</v>
      </c>
      <c r="G65" s="98">
        <f>'[7]Проект тарифн.смета'!$G$56</f>
        <v>1.4763729246487869</v>
      </c>
      <c r="H65" s="95">
        <f>'[7]Проект тарифн.смета'!$H$56</f>
        <v>34.19667943805875</v>
      </c>
      <c r="I65" s="96">
        <f>'[7]Проект тарифн.смета'!$I$56</f>
        <v>6.64367816091954</v>
      </c>
      <c r="J65" s="97">
        <f>'[8]исполнение тар.сметы-правда '!$DA$51</f>
        <v>899.7508938599999</v>
      </c>
      <c r="K65" s="95">
        <f t="shared" si="17"/>
        <v>699.416933524424</v>
      </c>
      <c r="L65" s="96">
        <f t="shared" si="18"/>
        <v>123.30145730591681</v>
      </c>
      <c r="M65" s="98">
        <f t="shared" si="19"/>
        <v>0</v>
      </c>
      <c r="N65" s="95">
        <f t="shared" si="20"/>
        <v>73.39440125243048</v>
      </c>
      <c r="O65" s="96">
        <f t="shared" si="21"/>
        <v>3.6381017772284117</v>
      </c>
      <c r="P65" s="86">
        <f t="shared" si="25"/>
        <v>0.5566624461245673</v>
      </c>
      <c r="Q65" s="84">
        <f t="shared" si="26"/>
        <v>0.6004730283527309</v>
      </c>
      <c r="R65" s="85">
        <f t="shared" si="27"/>
        <v>0.2495475392230906</v>
      </c>
      <c r="S65" s="86">
        <f>M65/G65-1</f>
        <v>-1</v>
      </c>
      <c r="T65" s="84">
        <f>N65/H65-1</f>
        <v>1.1462435083900906</v>
      </c>
      <c r="U65" s="86">
        <f>O65/I65-1</f>
        <v>-0.4523964452960695</v>
      </c>
      <c r="V65" s="261"/>
    </row>
    <row r="66" spans="1:22" ht="15.75">
      <c r="A66" s="117" t="s">
        <v>49</v>
      </c>
      <c r="B66" s="75" t="s">
        <v>68</v>
      </c>
      <c r="C66" s="76" t="s">
        <v>16</v>
      </c>
      <c r="D66" s="77">
        <f aca="true" t="shared" si="29" ref="D66:O66">D23+D31</f>
        <v>9092661.421493795</v>
      </c>
      <c r="E66" s="78">
        <f t="shared" si="29"/>
        <v>6697514.6830523545</v>
      </c>
      <c r="F66" s="79">
        <f>F23+F31</f>
        <v>1272650.2531483846</v>
      </c>
      <c r="G66" s="77">
        <f t="shared" si="29"/>
        <v>55967.74025310853</v>
      </c>
      <c r="H66" s="78">
        <f t="shared" si="29"/>
        <v>1025630.2141552051</v>
      </c>
      <c r="I66" s="82">
        <f t="shared" si="29"/>
        <v>40898.230884741846</v>
      </c>
      <c r="J66" s="77">
        <f t="shared" si="29"/>
        <v>8810197.426535048</v>
      </c>
      <c r="K66" s="78">
        <f t="shared" si="29"/>
        <v>6746854.38761353</v>
      </c>
      <c r="L66" s="79">
        <f t="shared" si="29"/>
        <v>1092874.2166678724</v>
      </c>
      <c r="M66" s="77">
        <f t="shared" si="29"/>
        <v>0</v>
      </c>
      <c r="N66" s="78">
        <f t="shared" si="29"/>
        <v>957137.1604311562</v>
      </c>
      <c r="O66" s="82">
        <f t="shared" si="29"/>
        <v>13331.661822488975</v>
      </c>
      <c r="P66" s="83">
        <f aca="true" t="shared" si="30" ref="P66:U66">J66/D66-1</f>
        <v>-0.031065051459085558</v>
      </c>
      <c r="Q66" s="87">
        <f t="shared" si="30"/>
        <v>0.007366867695867363</v>
      </c>
      <c r="R66" s="88">
        <f t="shared" si="30"/>
        <v>-0.14126114856439764</v>
      </c>
      <c r="S66" s="83">
        <f t="shared" si="30"/>
        <v>-1</v>
      </c>
      <c r="T66" s="87">
        <f t="shared" si="30"/>
        <v>-0.0667814313372832</v>
      </c>
      <c r="U66" s="83">
        <f t="shared" si="30"/>
        <v>-0.674028398439535</v>
      </c>
      <c r="V66" s="334"/>
    </row>
    <row r="67" spans="1:22" ht="78.75" customHeight="1">
      <c r="A67" s="117" t="s">
        <v>50</v>
      </c>
      <c r="B67" s="75" t="s">
        <v>51</v>
      </c>
      <c r="C67" s="76" t="s">
        <v>16</v>
      </c>
      <c r="D67" s="298">
        <v>0</v>
      </c>
      <c r="E67" s="299">
        <v>0</v>
      </c>
      <c r="F67" s="300">
        <v>0</v>
      </c>
      <c r="G67" s="301">
        <v>0</v>
      </c>
      <c r="H67" s="302">
        <v>0</v>
      </c>
      <c r="I67" s="303">
        <v>0</v>
      </c>
      <c r="J67" s="90">
        <f>J69-J66</f>
        <v>-1026463.4065350471</v>
      </c>
      <c r="K67" s="78">
        <f>J67*K72/100</f>
        <v>-797916.2822432109</v>
      </c>
      <c r="L67" s="79">
        <f>J67*L72/100</f>
        <v>-140666.082979919</v>
      </c>
      <c r="M67" s="80">
        <f>J67*M72/100</f>
        <v>0</v>
      </c>
      <c r="N67" s="118">
        <f>J67*N72/100</f>
        <v>-83730.58325840598</v>
      </c>
      <c r="O67" s="82">
        <f>J67*O72/100</f>
        <v>-4150.458053511142</v>
      </c>
      <c r="P67" s="83"/>
      <c r="Q67" s="87"/>
      <c r="R67" s="88"/>
      <c r="S67" s="83"/>
      <c r="T67" s="87"/>
      <c r="U67" s="83"/>
      <c r="V67" s="160" t="s">
        <v>262</v>
      </c>
    </row>
    <row r="68" spans="1:22" ht="30.75" customHeight="1">
      <c r="A68" s="117" t="s">
        <v>52</v>
      </c>
      <c r="B68" s="119" t="s">
        <v>114</v>
      </c>
      <c r="C68" s="76" t="s">
        <v>16</v>
      </c>
      <c r="D68" s="120">
        <f>E68+F68+G68+H68+I68-1</f>
        <v>51979</v>
      </c>
      <c r="E68" s="95">
        <v>39264</v>
      </c>
      <c r="F68" s="96">
        <v>7455</v>
      </c>
      <c r="G68" s="98">
        <v>117</v>
      </c>
      <c r="H68" s="95">
        <v>4497</v>
      </c>
      <c r="I68" s="96">
        <v>647</v>
      </c>
      <c r="J68" s="120">
        <f>'[10]ОС'!$E$25/1000</f>
        <v>48066.450589169996</v>
      </c>
      <c r="K68" s="95">
        <f>J68*K72/100</f>
        <v>37364.219036509814</v>
      </c>
      <c r="L68" s="96">
        <f>J68*L72/100</f>
        <v>6587.004742770153</v>
      </c>
      <c r="M68" s="98">
        <v>0</v>
      </c>
      <c r="N68" s="95">
        <f>J68*N72/100</f>
        <v>3920.872305207833</v>
      </c>
      <c r="O68" s="96">
        <f>J68*O72/100</f>
        <v>194.35450468219335</v>
      </c>
      <c r="P68" s="83">
        <f aca="true" t="shared" si="31" ref="P68:U70">J68/D68-1</f>
        <v>-0.07527173302352885</v>
      </c>
      <c r="Q68" s="87">
        <f t="shared" si="31"/>
        <v>-0.04838480448986826</v>
      </c>
      <c r="R68" s="88">
        <f t="shared" si="31"/>
        <v>-0.1164312886961566</v>
      </c>
      <c r="S68" s="83">
        <f t="shared" si="31"/>
        <v>-1</v>
      </c>
      <c r="T68" s="87">
        <f t="shared" si="31"/>
        <v>-0.12811378581102217</v>
      </c>
      <c r="U68" s="83">
        <f t="shared" si="31"/>
        <v>-0.6996066388219577</v>
      </c>
      <c r="V68" s="261"/>
    </row>
    <row r="69" spans="1:22" ht="18.75">
      <c r="A69" s="117" t="s">
        <v>54</v>
      </c>
      <c r="B69" s="75" t="s">
        <v>53</v>
      </c>
      <c r="C69" s="76" t="s">
        <v>16</v>
      </c>
      <c r="D69" s="77">
        <f aca="true" t="shared" si="32" ref="D69:I69">D66</f>
        <v>9092661.421493795</v>
      </c>
      <c r="E69" s="77">
        <f t="shared" si="32"/>
        <v>6697514.6830523545</v>
      </c>
      <c r="F69" s="77">
        <f t="shared" si="32"/>
        <v>1272650.2531483846</v>
      </c>
      <c r="G69" s="77">
        <f t="shared" si="32"/>
        <v>55967.74025310853</v>
      </c>
      <c r="H69" s="77">
        <f t="shared" si="32"/>
        <v>1025630.2141552051</v>
      </c>
      <c r="I69" s="77">
        <f t="shared" si="32"/>
        <v>40898.230884741846</v>
      </c>
      <c r="J69" s="77">
        <f>SUM(K69:O69)</f>
        <v>7783734.0200000005</v>
      </c>
      <c r="K69" s="78">
        <f>6109728.39</f>
        <v>6109728.39</v>
      </c>
      <c r="L69" s="79">
        <v>708575.65</v>
      </c>
      <c r="M69" s="77">
        <f>'[2]г.Павлодар 2018-1'!$DV$1008</f>
        <v>0</v>
      </c>
      <c r="N69" s="78">
        <v>952336.7</v>
      </c>
      <c r="O69" s="82">
        <v>13093.28</v>
      </c>
      <c r="P69" s="83">
        <f t="shared" si="31"/>
        <v>-0.14395426606336303</v>
      </c>
      <c r="Q69" s="87">
        <f t="shared" si="31"/>
        <v>-0.0877618521001099</v>
      </c>
      <c r="R69" s="88">
        <f t="shared" si="31"/>
        <v>-0.44322829603257563</v>
      </c>
      <c r="S69" s="83">
        <f t="shared" si="31"/>
        <v>-1</v>
      </c>
      <c r="T69" s="87">
        <f t="shared" si="31"/>
        <v>-0.0714619295957225</v>
      </c>
      <c r="U69" s="83">
        <f t="shared" si="31"/>
        <v>-0.6798570569739536</v>
      </c>
      <c r="V69" s="261"/>
    </row>
    <row r="70" spans="1:22" ht="18.75">
      <c r="A70" s="117" t="s">
        <v>55</v>
      </c>
      <c r="B70" s="75" t="s">
        <v>56</v>
      </c>
      <c r="C70" s="76" t="s">
        <v>57</v>
      </c>
      <c r="D70" s="123">
        <f>SUM(E70:I70)</f>
        <v>2628.1079999999997</v>
      </c>
      <c r="E70" s="121">
        <f>1985.237</f>
        <v>1985.237</v>
      </c>
      <c r="F70" s="122">
        <f>376.923</f>
        <v>376.923</v>
      </c>
      <c r="G70" s="124">
        <f>5.892</f>
        <v>5.892</v>
      </c>
      <c r="H70" s="125">
        <f>227.367</f>
        <v>227.367</v>
      </c>
      <c r="I70" s="126">
        <f>32.689</f>
        <v>32.689</v>
      </c>
      <c r="J70" s="123">
        <f>K70+L70+M70+N70+O70</f>
        <v>2588.1335050000002</v>
      </c>
      <c r="K70" s="121">
        <f>2011.872855</f>
        <v>2011.872855</v>
      </c>
      <c r="L70" s="122">
        <f>354.67665</f>
        <v>354.67665</v>
      </c>
      <c r="M70" s="124">
        <f>0</f>
        <v>0</v>
      </c>
      <c r="N70" s="125">
        <v>211.119</v>
      </c>
      <c r="O70" s="126">
        <f>10.465</f>
        <v>10.465</v>
      </c>
      <c r="P70" s="127">
        <f t="shared" si="31"/>
        <v>-0.015210369969574922</v>
      </c>
      <c r="Q70" s="128">
        <f t="shared" si="31"/>
        <v>0.013416964825862188</v>
      </c>
      <c r="R70" s="129">
        <f t="shared" si="31"/>
        <v>-0.059020940616518525</v>
      </c>
      <c r="S70" s="127">
        <f t="shared" si="31"/>
        <v>-1</v>
      </c>
      <c r="T70" s="128">
        <f t="shared" si="31"/>
        <v>-0.07146155774584695</v>
      </c>
      <c r="U70" s="127">
        <f t="shared" si="31"/>
        <v>-0.6798617271865153</v>
      </c>
      <c r="V70" s="261"/>
    </row>
    <row r="71" spans="1:22" ht="32.25" thickBot="1">
      <c r="A71" s="117" t="s">
        <v>63</v>
      </c>
      <c r="B71" s="75" t="s">
        <v>83</v>
      </c>
      <c r="C71" s="76" t="s">
        <v>64</v>
      </c>
      <c r="D71" s="132"/>
      <c r="E71" s="130">
        <f>E69/E70</f>
        <v>3373.660012911483</v>
      </c>
      <c r="F71" s="131">
        <f>F69/F70</f>
        <v>3376.419728030353</v>
      </c>
      <c r="G71" s="131">
        <f>G69/G70</f>
        <v>9498.937585388412</v>
      </c>
      <c r="H71" s="134">
        <f>H69/H70</f>
        <v>4510.9018202078805</v>
      </c>
      <c r="I71" s="131">
        <f>I69/I70</f>
        <v>1251.1312944642493</v>
      </c>
      <c r="J71" s="274"/>
      <c r="K71" s="130">
        <f>K69/K70</f>
        <v>3036.8362368505636</v>
      </c>
      <c r="L71" s="131">
        <f>L69/L70</f>
        <v>1997.807439536829</v>
      </c>
      <c r="M71" s="133">
        <v>0</v>
      </c>
      <c r="N71" s="134">
        <f>N69/N70</f>
        <v>4510.900013736328</v>
      </c>
      <c r="O71" s="131">
        <f>O69/O70</f>
        <v>1251.1495461060679</v>
      </c>
      <c r="P71" s="127"/>
      <c r="Q71" s="128">
        <f>K71/E71-1</f>
        <v>-0.09983927686010041</v>
      </c>
      <c r="R71" s="129">
        <f>L71/F71-1</f>
        <v>-0.40830595706113304</v>
      </c>
      <c r="S71" s="127">
        <f>M71/G71-1</f>
        <v>-1</v>
      </c>
      <c r="T71" s="128">
        <f>N71/H71-1</f>
        <v>-4.004679383662335E-07</v>
      </c>
      <c r="U71" s="127">
        <f>O71/I71-1</f>
        <v>1.4588110695656908E-05</v>
      </c>
      <c r="V71" s="261"/>
    </row>
    <row r="72" spans="1:22" s="304" customFormat="1" ht="16.5" customHeight="1" hidden="1" thickBot="1">
      <c r="A72" s="305"/>
      <c r="B72" s="306" t="s">
        <v>84</v>
      </c>
      <c r="C72" s="307"/>
      <c r="D72" s="308">
        <f>SUM(E72:F72)</f>
        <v>2362.16</v>
      </c>
      <c r="E72" s="309">
        <f>E75+E76+0.001+E77</f>
        <v>1985.237</v>
      </c>
      <c r="F72" s="310">
        <f>F75+F76-0.001+F77</f>
        <v>376.923</v>
      </c>
      <c r="G72" s="311"/>
      <c r="H72" s="312"/>
      <c r="I72" s="310"/>
      <c r="J72" s="308">
        <f>SUM(K72:O72)</f>
        <v>100</v>
      </c>
      <c r="K72" s="309">
        <f>K70/J70*100</f>
        <v>77.73450832861884</v>
      </c>
      <c r="L72" s="310">
        <f>L70/J70*100</f>
        <v>13.703954966573487</v>
      </c>
      <c r="M72" s="311">
        <f>M70/J70*100</f>
        <v>0</v>
      </c>
      <c r="N72" s="312">
        <f>N70/J70*100</f>
        <v>8.157191257411583</v>
      </c>
      <c r="O72" s="310">
        <f>O70/J70*100</f>
        <v>0.40434544739607625</v>
      </c>
      <c r="P72" s="311"/>
      <c r="Q72" s="312"/>
      <c r="R72" s="311"/>
      <c r="S72" s="313"/>
      <c r="T72" s="311"/>
      <c r="U72" s="311"/>
      <c r="V72" s="266"/>
    </row>
    <row r="73" spans="1:22" ht="31.5">
      <c r="A73" s="354" t="s">
        <v>88</v>
      </c>
      <c r="B73" s="136" t="s">
        <v>91</v>
      </c>
      <c r="C73" s="181" t="s">
        <v>57</v>
      </c>
      <c r="D73" s="179">
        <f>D75+D76+D77</f>
        <v>2362.16</v>
      </c>
      <c r="E73" s="176">
        <f>E75+E76+E77</f>
        <v>1985.2359999999999</v>
      </c>
      <c r="F73" s="175">
        <f>F75+F76+F77</f>
        <v>376.924</v>
      </c>
      <c r="G73" s="179"/>
      <c r="H73" s="278"/>
      <c r="I73" s="279"/>
      <c r="J73" s="179">
        <f>J75+J76+J77</f>
        <v>2366.54921</v>
      </c>
      <c r="K73" s="176">
        <f>K75+K76+K77</f>
        <v>2011.8725600000002</v>
      </c>
      <c r="L73" s="175">
        <f>L75+L76+L77</f>
        <v>354.67665</v>
      </c>
      <c r="M73" s="277"/>
      <c r="N73" s="278"/>
      <c r="O73" s="279"/>
      <c r="P73" s="185">
        <f>J73/D73-1</f>
        <v>0.001858134080672036</v>
      </c>
      <c r="Q73" s="186">
        <f>K73/E73-1</f>
        <v>0.013417326705742028</v>
      </c>
      <c r="R73" s="187">
        <f>L73/F73-1</f>
        <v>-0.059023437085460206</v>
      </c>
      <c r="S73" s="185"/>
      <c r="T73" s="186"/>
      <c r="U73" s="194"/>
      <c r="V73" s="260"/>
    </row>
    <row r="74" spans="1:22" ht="18.75">
      <c r="A74" s="352"/>
      <c r="B74" s="137" t="s">
        <v>14</v>
      </c>
      <c r="C74" s="182"/>
      <c r="D74" s="180"/>
      <c r="E74" s="177"/>
      <c r="F74" s="139"/>
      <c r="G74" s="180"/>
      <c r="H74" s="281"/>
      <c r="I74" s="282"/>
      <c r="J74" s="280"/>
      <c r="K74" s="281"/>
      <c r="L74" s="282"/>
      <c r="M74" s="280"/>
      <c r="N74" s="281"/>
      <c r="O74" s="282"/>
      <c r="P74" s="188"/>
      <c r="Q74" s="189"/>
      <c r="R74" s="190"/>
      <c r="S74" s="188"/>
      <c r="T74" s="189"/>
      <c r="U74" s="195"/>
      <c r="V74" s="261"/>
    </row>
    <row r="75" spans="1:22" ht="18.75">
      <c r="A75" s="352"/>
      <c r="B75" s="138" t="s">
        <v>119</v>
      </c>
      <c r="C75" s="183" t="s">
        <v>16</v>
      </c>
      <c r="D75" s="140">
        <f>SUM(E75:F75)</f>
        <v>1457.987</v>
      </c>
      <c r="E75" s="177">
        <f>1125.606</f>
        <v>1125.606</v>
      </c>
      <c r="F75" s="139">
        <f>332.381</f>
        <v>332.381</v>
      </c>
      <c r="G75" s="140"/>
      <c r="H75" s="281"/>
      <c r="I75" s="282"/>
      <c r="J75" s="140">
        <f>K75+L75</f>
        <v>1511.26318</v>
      </c>
      <c r="K75" s="177">
        <v>1193.365</v>
      </c>
      <c r="L75" s="139">
        <f>317.89818</f>
        <v>317.89818</v>
      </c>
      <c r="M75" s="283"/>
      <c r="N75" s="281"/>
      <c r="O75" s="282"/>
      <c r="P75" s="191">
        <f aca="true" t="shared" si="33" ref="P75:R77">J75/D75-1</f>
        <v>0.0365409156597416</v>
      </c>
      <c r="Q75" s="189">
        <f t="shared" si="33"/>
        <v>0.06019779567628469</v>
      </c>
      <c r="R75" s="190">
        <f t="shared" si="33"/>
        <v>-0.04357294791218491</v>
      </c>
      <c r="S75" s="191"/>
      <c r="T75" s="189"/>
      <c r="U75" s="195"/>
      <c r="V75" s="261"/>
    </row>
    <row r="76" spans="1:22" ht="18.75">
      <c r="A76" s="352"/>
      <c r="B76" s="138" t="s">
        <v>90</v>
      </c>
      <c r="C76" s="183" t="s">
        <v>16</v>
      </c>
      <c r="D76" s="140">
        <f>SUM(E76:F76)</f>
        <v>581.904</v>
      </c>
      <c r="E76" s="177">
        <v>558.298</v>
      </c>
      <c r="F76" s="139">
        <v>23.606</v>
      </c>
      <c r="G76" s="140"/>
      <c r="H76" s="281"/>
      <c r="I76" s="282"/>
      <c r="J76" s="140">
        <f>K76+L76</f>
        <v>573.53638</v>
      </c>
      <c r="K76" s="177">
        <v>553.87495</v>
      </c>
      <c r="L76" s="139">
        <v>19.66143</v>
      </c>
      <c r="M76" s="283"/>
      <c r="N76" s="281"/>
      <c r="O76" s="282"/>
      <c r="P76" s="191">
        <f t="shared" si="33"/>
        <v>-0.01437972586543479</v>
      </c>
      <c r="Q76" s="189">
        <f t="shared" si="33"/>
        <v>-0.007922381953723634</v>
      </c>
      <c r="R76" s="190">
        <f t="shared" si="33"/>
        <v>-0.16710031347962395</v>
      </c>
      <c r="S76" s="191"/>
      <c r="T76" s="189"/>
      <c r="U76" s="195"/>
      <c r="V76" s="261"/>
    </row>
    <row r="77" spans="1:22" ht="16.5" thickBot="1">
      <c r="A77" s="353"/>
      <c r="B77" s="342" t="s">
        <v>125</v>
      </c>
      <c r="C77" s="184" t="s">
        <v>16</v>
      </c>
      <c r="D77" s="142">
        <f>SUM(E77:F77)</f>
        <v>322.269</v>
      </c>
      <c r="E77" s="178">
        <v>301.332</v>
      </c>
      <c r="F77" s="141">
        <v>20.937</v>
      </c>
      <c r="G77" s="142"/>
      <c r="H77" s="285"/>
      <c r="I77" s="286"/>
      <c r="J77" s="142">
        <f>K77+L77</f>
        <v>281.74965</v>
      </c>
      <c r="K77" s="178">
        <v>264.63261</v>
      </c>
      <c r="L77" s="141">
        <v>17.11704</v>
      </c>
      <c r="M77" s="284"/>
      <c r="N77" s="285"/>
      <c r="O77" s="286"/>
      <c r="P77" s="192">
        <f t="shared" si="33"/>
        <v>-0.12573145415786202</v>
      </c>
      <c r="Q77" s="193">
        <f t="shared" si="33"/>
        <v>-0.12179054995818561</v>
      </c>
      <c r="R77" s="343">
        <f t="shared" si="33"/>
        <v>-0.18245020776615573</v>
      </c>
      <c r="S77" s="192"/>
      <c r="T77" s="193"/>
      <c r="U77" s="166"/>
      <c r="V77" s="344"/>
    </row>
    <row r="78" spans="1:22" s="149" customFormat="1" ht="15.75">
      <c r="A78" s="352" t="s">
        <v>89</v>
      </c>
      <c r="B78" s="336" t="s">
        <v>83</v>
      </c>
      <c r="C78" s="350" t="s">
        <v>64</v>
      </c>
      <c r="D78" s="337"/>
      <c r="E78" s="338"/>
      <c r="F78" s="339"/>
      <c r="G78" s="340"/>
      <c r="H78" s="338"/>
      <c r="I78" s="341"/>
      <c r="J78" s="337"/>
      <c r="K78" s="338"/>
      <c r="L78" s="339"/>
      <c r="M78" s="340"/>
      <c r="N78" s="338"/>
      <c r="O78" s="341"/>
      <c r="P78" s="83"/>
      <c r="Q78" s="87"/>
      <c r="R78" s="88"/>
      <c r="S78" s="83"/>
      <c r="T78" s="87"/>
      <c r="U78" s="83"/>
      <c r="V78" s="265"/>
    </row>
    <row r="79" spans="1:22" s="149" customFormat="1" ht="47.25">
      <c r="A79" s="352"/>
      <c r="B79" s="150" t="s">
        <v>92</v>
      </c>
      <c r="C79" s="350"/>
      <c r="D79" s="287"/>
      <c r="E79" s="152">
        <v>1802.5</v>
      </c>
      <c r="F79" s="153">
        <v>1109.62</v>
      </c>
      <c r="G79" s="290"/>
      <c r="H79" s="291"/>
      <c r="I79" s="292"/>
      <c r="J79" s="287"/>
      <c r="K79" s="152">
        <f>'[9]г.Павлодар 2019 год'!$CU$14</f>
        <v>1802.5693961872867</v>
      </c>
      <c r="L79" s="153">
        <f>'[9]г.Павлодар 2019 год'!$CU$137</f>
        <v>1109.6162201000095</v>
      </c>
      <c r="M79" s="290"/>
      <c r="N79" s="291"/>
      <c r="O79" s="292"/>
      <c r="P79" s="157"/>
      <c r="Q79" s="316">
        <f aca="true" t="shared" si="34" ref="Q79:R84">K79/E79-1</f>
        <v>3.849996520766119E-05</v>
      </c>
      <c r="R79" s="318">
        <f t="shared" si="34"/>
        <v>-3.406481489443003E-06</v>
      </c>
      <c r="S79" s="158"/>
      <c r="T79" s="128"/>
      <c r="U79" s="331"/>
      <c r="V79" s="334"/>
    </row>
    <row r="80" spans="1:22" s="149" customFormat="1" ht="47.25">
      <c r="A80" s="352"/>
      <c r="B80" s="91" t="s">
        <v>93</v>
      </c>
      <c r="C80" s="350"/>
      <c r="D80" s="287"/>
      <c r="E80" s="152">
        <v>2631.18</v>
      </c>
      <c r="F80" s="153">
        <v>2344.88</v>
      </c>
      <c r="G80" s="290"/>
      <c r="H80" s="291"/>
      <c r="I80" s="292"/>
      <c r="J80" s="287"/>
      <c r="K80" s="152">
        <f>'[9]г.Павлодар 2019 год'!$CU$233</f>
        <v>2633.164366866959</v>
      </c>
      <c r="L80" s="153">
        <f>'[9]г.Павлодар 2019 год'!$CU$335</f>
        <v>2344.8776605336857</v>
      </c>
      <c r="M80" s="290"/>
      <c r="N80" s="291"/>
      <c r="O80" s="292"/>
      <c r="P80" s="157"/>
      <c r="Q80" s="316">
        <f t="shared" si="34"/>
        <v>0.0007541737421838945</v>
      </c>
      <c r="R80" s="317">
        <f t="shared" si="34"/>
        <v>-9.976912739295685E-07</v>
      </c>
      <c r="S80" s="158"/>
      <c r="T80" s="128"/>
      <c r="U80" s="331"/>
      <c r="V80" s="334"/>
    </row>
    <row r="81" spans="1:22" s="149" customFormat="1" ht="78.75">
      <c r="A81" s="352"/>
      <c r="B81" s="91" t="s">
        <v>94</v>
      </c>
      <c r="C81" s="350"/>
      <c r="D81" s="287"/>
      <c r="E81" s="152">
        <v>2254.92</v>
      </c>
      <c r="F81" s="153">
        <v>2283.57</v>
      </c>
      <c r="G81" s="290"/>
      <c r="H81" s="291"/>
      <c r="I81" s="292"/>
      <c r="J81" s="287"/>
      <c r="K81" s="152">
        <f>E81</f>
        <v>2254.92</v>
      </c>
      <c r="L81" s="153">
        <f>F81</f>
        <v>2283.57</v>
      </c>
      <c r="M81" s="290"/>
      <c r="N81" s="291"/>
      <c r="O81" s="292"/>
      <c r="P81" s="157"/>
      <c r="Q81" s="316">
        <f t="shared" si="34"/>
        <v>0</v>
      </c>
      <c r="R81" s="317">
        <f t="shared" si="34"/>
        <v>0</v>
      </c>
      <c r="S81" s="158"/>
      <c r="T81" s="128"/>
      <c r="U81" s="331"/>
      <c r="V81" s="334"/>
    </row>
    <row r="82" spans="1:22" s="149" customFormat="1" ht="31.5">
      <c r="A82" s="352"/>
      <c r="B82" s="91" t="s">
        <v>95</v>
      </c>
      <c r="C82" s="350"/>
      <c r="D82" s="287"/>
      <c r="E82" s="152">
        <v>4392.97</v>
      </c>
      <c r="F82" s="153">
        <v>3525.8</v>
      </c>
      <c r="G82" s="290"/>
      <c r="H82" s="291"/>
      <c r="I82" s="292"/>
      <c r="J82" s="287"/>
      <c r="K82" s="152">
        <f>'[9]г.Павлодар 2019 год'!$CU$905</f>
        <v>4390.2724152726505</v>
      </c>
      <c r="L82" s="153">
        <f>'[9]г.Павлодар 2019 год'!$CU$1032</f>
        <v>3504.9000590001388</v>
      </c>
      <c r="M82" s="290"/>
      <c r="N82" s="291"/>
      <c r="O82" s="292"/>
      <c r="P82" s="157"/>
      <c r="Q82" s="316">
        <f t="shared" si="34"/>
        <v>-0.0006140685521071054</v>
      </c>
      <c r="R82" s="317">
        <f t="shared" si="34"/>
        <v>-0.005927715979312853</v>
      </c>
      <c r="S82" s="158"/>
      <c r="T82" s="128"/>
      <c r="U82" s="331"/>
      <c r="V82" s="334"/>
    </row>
    <row r="83" spans="1:22" s="149" customFormat="1" ht="31.5">
      <c r="A83" s="352"/>
      <c r="B83" s="91" t="s">
        <v>96</v>
      </c>
      <c r="C83" s="350"/>
      <c r="D83" s="287"/>
      <c r="E83" s="152">
        <v>7167.35</v>
      </c>
      <c r="F83" s="153">
        <v>7170.69</v>
      </c>
      <c r="G83" s="290"/>
      <c r="H83" s="291"/>
      <c r="I83" s="292"/>
      <c r="J83" s="287"/>
      <c r="K83" s="152">
        <f>'[9]г.Павлодар 2019 год'!$CU$1143</f>
        <v>7175.411212530631</v>
      </c>
      <c r="L83" s="153">
        <f>'[9]г.Павлодар 2019 год'!$CU$1257</f>
        <v>7228.638573909378</v>
      </c>
      <c r="M83" s="290"/>
      <c r="N83" s="291"/>
      <c r="O83" s="292"/>
      <c r="P83" s="157"/>
      <c r="Q83" s="316">
        <f t="shared" si="34"/>
        <v>0.0011247131130236454</v>
      </c>
      <c r="R83" s="317">
        <f t="shared" si="34"/>
        <v>0.008081310711992584</v>
      </c>
      <c r="S83" s="158"/>
      <c r="T83" s="128"/>
      <c r="U83" s="331"/>
      <c r="V83" s="334"/>
    </row>
    <row r="84" spans="1:23" s="149" customFormat="1" ht="63">
      <c r="A84" s="352"/>
      <c r="B84" s="160" t="s">
        <v>97</v>
      </c>
      <c r="C84" s="350"/>
      <c r="D84" s="293"/>
      <c r="E84" s="162">
        <v>4778.23</v>
      </c>
      <c r="F84" s="163">
        <v>4780.46</v>
      </c>
      <c r="G84" s="276"/>
      <c r="H84" s="275"/>
      <c r="I84" s="294"/>
      <c r="J84" s="293"/>
      <c r="K84" s="162">
        <f>E84</f>
        <v>4778.23</v>
      </c>
      <c r="L84" s="163">
        <f>F84</f>
        <v>4780.46</v>
      </c>
      <c r="M84" s="276"/>
      <c r="N84" s="275"/>
      <c r="O84" s="294"/>
      <c r="P84" s="164"/>
      <c r="Q84" s="316">
        <f t="shared" si="34"/>
        <v>0</v>
      </c>
      <c r="R84" s="317">
        <f t="shared" si="34"/>
        <v>0</v>
      </c>
      <c r="S84" s="83"/>
      <c r="T84" s="87"/>
      <c r="U84" s="83"/>
      <c r="V84" s="334"/>
      <c r="W84" s="165"/>
    </row>
    <row r="85" spans="1:23" s="149" customFormat="1" ht="31.5">
      <c r="A85" s="352"/>
      <c r="B85" s="160" t="s">
        <v>126</v>
      </c>
      <c r="C85" s="350"/>
      <c r="D85" s="287"/>
      <c r="E85" s="152">
        <v>4500.89</v>
      </c>
      <c r="F85" s="153">
        <v>4662.08</v>
      </c>
      <c r="G85" s="287"/>
      <c r="H85" s="288"/>
      <c r="I85" s="289"/>
      <c r="J85" s="287"/>
      <c r="K85" s="152">
        <f>'[9]г.Павлодар 2019 год'!$CU$452</f>
        <v>4498.776438816453</v>
      </c>
      <c r="L85" s="153">
        <f>'[9]г.Павлодар 2019 год'!$CU$563</f>
        <v>4661.949009900688</v>
      </c>
      <c r="M85" s="287"/>
      <c r="N85" s="288"/>
      <c r="O85" s="289"/>
      <c r="P85" s="164"/>
      <c r="Q85" s="316">
        <f aca="true" t="shared" si="35" ref="Q85:R87">K85/E85-1</f>
        <v>-0.000469587389060222</v>
      </c>
      <c r="R85" s="317">
        <f t="shared" si="35"/>
        <v>-2.8096922256137802E-05</v>
      </c>
      <c r="S85" s="83"/>
      <c r="T85" s="87"/>
      <c r="U85" s="83"/>
      <c r="V85" s="334"/>
      <c r="W85" s="165"/>
    </row>
    <row r="86" spans="1:23" s="149" customFormat="1" ht="31.5">
      <c r="A86" s="352"/>
      <c r="B86" s="160" t="s">
        <v>127</v>
      </c>
      <c r="C86" s="350"/>
      <c r="D86" s="287"/>
      <c r="E86" s="152">
        <v>7167.35</v>
      </c>
      <c r="F86" s="153">
        <v>7170.69</v>
      </c>
      <c r="G86" s="287"/>
      <c r="H86" s="288"/>
      <c r="I86" s="289"/>
      <c r="J86" s="287"/>
      <c r="K86" s="152">
        <f>'[9]г.Павлодар 2019 год'!$CU$674</f>
        <v>7178.967009968538</v>
      </c>
      <c r="L86" s="153">
        <f>'[9]г.Павлодар 2019 год'!$CU$788</f>
        <v>7175.932085050037</v>
      </c>
      <c r="M86" s="287"/>
      <c r="N86" s="288"/>
      <c r="O86" s="289"/>
      <c r="P86" s="164"/>
      <c r="Q86" s="316">
        <f t="shared" si="35"/>
        <v>0.0016208235915000646</v>
      </c>
      <c r="R86" s="317">
        <f t="shared" si="35"/>
        <v>0.00073104332359053</v>
      </c>
      <c r="S86" s="83"/>
      <c r="T86" s="87"/>
      <c r="U86" s="83"/>
      <c r="V86" s="334"/>
      <c r="W86" s="165"/>
    </row>
    <row r="87" spans="1:23" s="149" customFormat="1" ht="63.75" thickBot="1">
      <c r="A87" s="353"/>
      <c r="B87" s="207" t="s">
        <v>128</v>
      </c>
      <c r="C87" s="351"/>
      <c r="D87" s="295"/>
      <c r="E87" s="209">
        <v>4778.23</v>
      </c>
      <c r="F87" s="210">
        <v>4780.46</v>
      </c>
      <c r="G87" s="295"/>
      <c r="H87" s="296"/>
      <c r="I87" s="297"/>
      <c r="J87" s="295"/>
      <c r="K87" s="209">
        <f>E87</f>
        <v>4778.23</v>
      </c>
      <c r="L87" s="210">
        <f>F87</f>
        <v>4780.46</v>
      </c>
      <c r="M87" s="295"/>
      <c r="N87" s="296"/>
      <c r="O87" s="297"/>
      <c r="P87" s="211"/>
      <c r="Q87" s="319">
        <f t="shared" si="35"/>
        <v>0</v>
      </c>
      <c r="R87" s="320">
        <f t="shared" si="35"/>
        <v>0</v>
      </c>
      <c r="S87" s="214"/>
      <c r="T87" s="215"/>
      <c r="U87" s="214"/>
      <c r="V87" s="335"/>
      <c r="W87" s="165"/>
    </row>
    <row r="88" spans="1:23" s="149" customFormat="1" ht="15.75" customHeight="1" hidden="1">
      <c r="A88" s="198"/>
      <c r="B88" s="199" t="s">
        <v>85</v>
      </c>
      <c r="C88" s="200"/>
      <c r="D88" s="201"/>
      <c r="E88" s="201"/>
      <c r="F88" s="201"/>
      <c r="G88" s="202"/>
      <c r="H88" s="202"/>
      <c r="I88" s="202"/>
      <c r="J88" s="201"/>
      <c r="K88" s="201"/>
      <c r="L88" s="201"/>
      <c r="M88" s="202"/>
      <c r="N88" s="202"/>
      <c r="O88" s="202"/>
      <c r="P88" s="314"/>
      <c r="Q88" s="314"/>
      <c r="R88" s="314"/>
      <c r="S88" s="315"/>
      <c r="T88" s="315"/>
      <c r="U88" s="315"/>
      <c r="V88" s="332"/>
      <c r="W88" s="165"/>
    </row>
    <row r="89" spans="1:23" s="149" customFormat="1" ht="15.75" customHeight="1" hidden="1">
      <c r="A89" s="198"/>
      <c r="B89" s="203" t="s">
        <v>98</v>
      </c>
      <c r="C89" s="200" t="s">
        <v>99</v>
      </c>
      <c r="D89" s="347">
        <v>132</v>
      </c>
      <c r="E89" s="347"/>
      <c r="F89" s="347"/>
      <c r="G89" s="347"/>
      <c r="H89" s="347"/>
      <c r="I89" s="347"/>
      <c r="J89" s="347">
        <v>132</v>
      </c>
      <c r="K89" s="347"/>
      <c r="L89" s="347"/>
      <c r="M89" s="347"/>
      <c r="N89" s="347"/>
      <c r="O89" s="347"/>
      <c r="P89" s="346">
        <f>J89/D89-1</f>
        <v>0</v>
      </c>
      <c r="Q89" s="346"/>
      <c r="R89" s="346"/>
      <c r="S89" s="346"/>
      <c r="T89" s="346"/>
      <c r="U89" s="346"/>
      <c r="V89" s="20" t="s">
        <v>111</v>
      </c>
      <c r="W89" s="165"/>
    </row>
    <row r="90" spans="1:23" s="149" customFormat="1" ht="41.25" customHeight="1" hidden="1">
      <c r="A90" s="198"/>
      <c r="B90" s="203" t="s">
        <v>100</v>
      </c>
      <c r="C90" s="200" t="s">
        <v>86</v>
      </c>
      <c r="D90" s="345">
        <f>D39/132/12*1000</f>
        <v>62855.42929292929</v>
      </c>
      <c r="E90" s="345"/>
      <c r="F90" s="345"/>
      <c r="G90" s="345"/>
      <c r="H90" s="345"/>
      <c r="I90" s="345"/>
      <c r="J90" s="345">
        <f>J39/132/12*1000</f>
        <v>88609.20127735773</v>
      </c>
      <c r="K90" s="345"/>
      <c r="L90" s="345"/>
      <c r="M90" s="345"/>
      <c r="N90" s="345"/>
      <c r="O90" s="345"/>
      <c r="P90" s="346">
        <f>J90/D90-1</f>
        <v>0.40973026951111</v>
      </c>
      <c r="Q90" s="346"/>
      <c r="R90" s="346"/>
      <c r="S90" s="346"/>
      <c r="T90" s="346"/>
      <c r="U90" s="346"/>
      <c r="V90" s="234"/>
      <c r="W90" s="165"/>
    </row>
    <row r="91" spans="1:23" s="149" customFormat="1" ht="15.75" hidden="1">
      <c r="A91" s="198"/>
      <c r="B91" s="204" t="s">
        <v>101</v>
      </c>
      <c r="C91" s="200" t="s">
        <v>102</v>
      </c>
      <c r="D91" s="201"/>
      <c r="E91" s="201">
        <f>E31/E70</f>
        <v>58.09920077671057</v>
      </c>
      <c r="F91" s="201">
        <f>F31/F70</f>
        <v>58.095561025420885</v>
      </c>
      <c r="G91" s="201">
        <f>G31/G70</f>
        <v>58.50988681407486</v>
      </c>
      <c r="H91" s="201">
        <f>H31/H70</f>
        <v>58.382325294370084</v>
      </c>
      <c r="I91" s="201">
        <f>I31/I70</f>
        <v>58.329434511360006</v>
      </c>
      <c r="J91" s="201"/>
      <c r="K91" s="201">
        <f>K31/K70</f>
        <v>81.1181865732417</v>
      </c>
      <c r="L91" s="201">
        <f>L31/L70</f>
        <v>81.1181865732417</v>
      </c>
      <c r="M91" s="201">
        <v>0</v>
      </c>
      <c r="N91" s="201">
        <f>N31/N70</f>
        <v>81.11818657324169</v>
      </c>
      <c r="O91" s="201">
        <f>O31/O70</f>
        <v>81.11818657324172</v>
      </c>
      <c r="P91" s="314"/>
      <c r="Q91" s="314">
        <f>K91/E91-1</f>
        <v>0.396201419103831</v>
      </c>
      <c r="R91" s="314">
        <f>L91/F91-1</f>
        <v>0.39628889267024725</v>
      </c>
      <c r="S91" s="314">
        <f>M91/G91-1</f>
        <v>-1</v>
      </c>
      <c r="T91" s="314">
        <f>N91/H91-1</f>
        <v>0.38943055392595105</v>
      </c>
      <c r="U91" s="314">
        <f>O91/I91-1</f>
        <v>0.39069043361706957</v>
      </c>
      <c r="V91" s="222"/>
      <c r="W91" s="165"/>
    </row>
    <row r="92" spans="1:23" s="149" customFormat="1" ht="15.75">
      <c r="A92" s="167"/>
      <c r="B92" s="167"/>
      <c r="C92" s="7"/>
      <c r="D92" s="167"/>
      <c r="E92" s="167"/>
      <c r="F92" s="167"/>
      <c r="G92" s="7"/>
      <c r="H92" s="167"/>
      <c r="I92" s="7"/>
      <c r="J92" s="168"/>
      <c r="K92" s="168"/>
      <c r="L92" s="168"/>
      <c r="M92" s="168"/>
      <c r="N92" s="168"/>
      <c r="O92" s="168"/>
      <c r="P92" s="167"/>
      <c r="Q92" s="167"/>
      <c r="R92" s="167"/>
      <c r="S92" s="167"/>
      <c r="T92" s="167"/>
      <c r="U92" s="167"/>
      <c r="V92" s="223"/>
      <c r="W92" s="165"/>
    </row>
    <row r="93" spans="1:22" ht="23.25" customHeight="1">
      <c r="A93" s="25" t="s">
        <v>109</v>
      </c>
      <c r="B93" s="217"/>
      <c r="C93" s="25"/>
      <c r="D93" s="25"/>
      <c r="E93" s="25"/>
      <c r="F93" s="25"/>
      <c r="G93" s="7"/>
      <c r="H93" s="7"/>
      <c r="I93" s="7"/>
      <c r="J93" s="7"/>
      <c r="K93" s="7"/>
      <c r="L93" s="7"/>
      <c r="M93" s="7"/>
      <c r="N93" s="7"/>
      <c r="R93" s="169"/>
      <c r="S93" s="7"/>
      <c r="T93" s="7"/>
      <c r="U93" s="170"/>
      <c r="V93" s="224"/>
    </row>
    <row r="94" spans="1:21" ht="15.75">
      <c r="A94" s="26" t="s">
        <v>132</v>
      </c>
      <c r="B94" s="217"/>
      <c r="C94" s="26"/>
      <c r="D94" s="27"/>
      <c r="E94" s="27"/>
      <c r="F94" s="27"/>
      <c r="G94" s="5"/>
      <c r="H94" s="5"/>
      <c r="I94" s="5"/>
      <c r="J94" s="5"/>
      <c r="K94" s="237"/>
      <c r="L94" s="237"/>
      <c r="N94" s="5"/>
      <c r="R94" s="27"/>
      <c r="S94" s="5"/>
      <c r="T94" s="5"/>
      <c r="U94" s="12"/>
    </row>
    <row r="95" spans="1:21" ht="15.75">
      <c r="A95" s="26" t="s">
        <v>124</v>
      </c>
      <c r="B95" s="217"/>
      <c r="C95" s="27"/>
      <c r="D95" s="27"/>
      <c r="E95" s="27"/>
      <c r="F95" s="27"/>
      <c r="H95" s="5"/>
      <c r="I95" s="5"/>
      <c r="J95" s="5"/>
      <c r="K95" s="5"/>
      <c r="L95" s="5"/>
      <c r="M95" s="5"/>
      <c r="N95" s="5"/>
      <c r="R95" s="27"/>
      <c r="S95" s="5"/>
      <c r="T95" s="5"/>
      <c r="U95" s="12"/>
    </row>
    <row r="96" spans="1:21" ht="15.75">
      <c r="A96" s="26" t="s">
        <v>133</v>
      </c>
      <c r="B96" s="217"/>
      <c r="C96" s="26"/>
      <c r="D96" s="27"/>
      <c r="E96" s="27"/>
      <c r="F96" s="27"/>
      <c r="G96" s="5"/>
      <c r="H96" s="5"/>
      <c r="I96" s="5"/>
      <c r="J96" s="5"/>
      <c r="K96" s="5"/>
      <c r="L96" s="5"/>
      <c r="M96" s="5"/>
      <c r="N96" s="5"/>
      <c r="R96" s="27"/>
      <c r="S96" s="5"/>
      <c r="T96" s="5"/>
      <c r="U96" s="12"/>
    </row>
    <row r="97" spans="1:21" ht="15.75">
      <c r="A97" s="26" t="s">
        <v>255</v>
      </c>
      <c r="B97" s="217"/>
      <c r="C97" s="26"/>
      <c r="D97" s="27"/>
      <c r="E97" s="27"/>
      <c r="F97" s="27"/>
      <c r="G97" s="5"/>
      <c r="H97" s="5"/>
      <c r="I97" s="5"/>
      <c r="J97" s="5"/>
      <c r="K97" s="5"/>
      <c r="L97" s="5"/>
      <c r="M97" s="5"/>
      <c r="N97" s="5"/>
      <c r="R97" s="27"/>
      <c r="S97" s="5"/>
      <c r="T97" s="5"/>
      <c r="U97" s="12"/>
    </row>
    <row r="98" spans="1:21" ht="15.75">
      <c r="A98" s="26"/>
      <c r="B98" s="217"/>
      <c r="C98" s="26"/>
      <c r="D98" s="27"/>
      <c r="E98" s="27"/>
      <c r="F98" s="27"/>
      <c r="G98" s="5"/>
      <c r="H98" s="5"/>
      <c r="I98" s="5"/>
      <c r="J98" s="5"/>
      <c r="K98" s="5"/>
      <c r="L98" s="5"/>
      <c r="M98" s="5"/>
      <c r="N98" s="5"/>
      <c r="R98" s="27"/>
      <c r="S98" s="5"/>
      <c r="T98" s="5"/>
      <c r="U98" s="12"/>
    </row>
    <row r="99" spans="1:21" ht="15.75">
      <c r="A99" s="27" t="s">
        <v>142</v>
      </c>
      <c r="B99" s="217"/>
      <c r="C99" s="27"/>
      <c r="D99" s="27"/>
      <c r="E99" s="27"/>
      <c r="F99" s="27"/>
      <c r="G99" s="5"/>
      <c r="H99" s="5"/>
      <c r="I99" s="5"/>
      <c r="J99" s="5"/>
      <c r="K99" s="5"/>
      <c r="L99" s="5"/>
      <c r="M99" s="5"/>
      <c r="N99" s="5"/>
      <c r="R99" s="27"/>
      <c r="S99" s="5" t="s">
        <v>143</v>
      </c>
      <c r="T99" s="5"/>
      <c r="U99" s="12"/>
    </row>
    <row r="100" spans="1:21" ht="15.75">
      <c r="A100" s="26"/>
      <c r="B100" s="217"/>
      <c r="C100" s="26"/>
      <c r="D100" s="27"/>
      <c r="E100" s="27"/>
      <c r="F100" s="27"/>
      <c r="G100" s="5"/>
      <c r="H100" s="5"/>
      <c r="I100" s="5"/>
      <c r="J100" s="5"/>
      <c r="K100" s="5"/>
      <c r="L100" s="5"/>
      <c r="M100" s="5"/>
      <c r="N100" s="5"/>
      <c r="R100" s="27"/>
      <c r="S100" s="5"/>
      <c r="T100" s="5"/>
      <c r="U100" s="12"/>
    </row>
    <row r="101" spans="1:21" ht="15.75">
      <c r="A101" s="26" t="s">
        <v>254</v>
      </c>
      <c r="B101" s="217"/>
      <c r="C101" s="26"/>
      <c r="D101" s="27"/>
      <c r="E101" s="27"/>
      <c r="F101" s="27"/>
      <c r="G101" s="5"/>
      <c r="H101" s="5"/>
      <c r="I101" s="5"/>
      <c r="J101" s="5"/>
      <c r="K101" s="5"/>
      <c r="L101" s="5"/>
      <c r="M101" s="5"/>
      <c r="N101" s="5"/>
      <c r="R101" s="27"/>
      <c r="S101" s="5"/>
      <c r="T101" s="5"/>
      <c r="U101" s="12"/>
    </row>
    <row r="102" spans="1:21" ht="15.75">
      <c r="A102" s="26" t="s">
        <v>110</v>
      </c>
      <c r="B102" s="217"/>
      <c r="C102" s="26"/>
      <c r="D102" s="27"/>
      <c r="E102" s="27"/>
      <c r="F102" s="27"/>
      <c r="H102" s="5"/>
      <c r="I102" s="5"/>
      <c r="J102" s="5"/>
      <c r="K102" s="5"/>
      <c r="L102" s="5"/>
      <c r="M102" s="5"/>
      <c r="N102" s="236" t="s">
        <v>141</v>
      </c>
      <c r="R102" s="27"/>
      <c r="S102" s="12"/>
      <c r="T102" s="12"/>
      <c r="U102" s="12"/>
    </row>
    <row r="103" spans="8:18" ht="15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8:18" ht="15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8:18" ht="15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ht="15" outlineLevel="1"/>
    <row r="107" ht="15" outlineLevel="1"/>
    <row r="108" ht="15" outlineLevel="1"/>
    <row r="109" ht="15" outlineLevel="1"/>
    <row r="110" ht="12.75" customHeight="1" outlineLevel="1"/>
    <row r="111" ht="15" outlineLevel="1"/>
    <row r="112" ht="15" outlineLevel="1">
      <c r="J112" s="6"/>
    </row>
    <row r="113" spans="10:12" ht="15" outlineLevel="1">
      <c r="J113" s="6"/>
      <c r="L113" s="11"/>
    </row>
    <row r="114" spans="10:12" ht="15" outlineLevel="1">
      <c r="J114" s="6"/>
      <c r="L114" s="11"/>
    </row>
    <row r="115" ht="15" outlineLevel="1">
      <c r="J115" s="6"/>
    </row>
    <row r="116" spans="10:12" ht="15" outlineLevel="1">
      <c r="J116" s="6"/>
      <c r="L116" s="11"/>
    </row>
    <row r="117" spans="10:12" ht="15" outlineLevel="1">
      <c r="J117" s="6"/>
      <c r="L117" s="11"/>
    </row>
    <row r="118" spans="10:12" ht="15" outlineLevel="1">
      <c r="J118" s="6"/>
      <c r="L118" s="11"/>
    </row>
    <row r="119" ht="15" outlineLevel="1">
      <c r="J119" s="6"/>
    </row>
  </sheetData>
  <sheetProtection/>
  <mergeCells count="47">
    <mergeCell ref="V40:V41"/>
    <mergeCell ref="P17:U17"/>
    <mergeCell ref="V17:V21"/>
    <mergeCell ref="Q19:R20"/>
    <mergeCell ref="S19:U19"/>
    <mergeCell ref="B8:O8"/>
    <mergeCell ref="G18:I19"/>
    <mergeCell ref="J18:J21"/>
    <mergeCell ref="D17:I17"/>
    <mergeCell ref="G20:G21"/>
    <mergeCell ref="B6:G6"/>
    <mergeCell ref="Q1:V1"/>
    <mergeCell ref="Q2:V2"/>
    <mergeCell ref="Q3:V3"/>
    <mergeCell ref="Q4:V4"/>
    <mergeCell ref="Q5:V5"/>
    <mergeCell ref="Q6:V6"/>
    <mergeCell ref="N16:O16"/>
    <mergeCell ref="Q18:U18"/>
    <mergeCell ref="T20:U20"/>
    <mergeCell ref="P18:P21"/>
    <mergeCell ref="S20:S21"/>
    <mergeCell ref="J17:O17"/>
    <mergeCell ref="K18:L20"/>
    <mergeCell ref="M18:O19"/>
    <mergeCell ref="M20:M21"/>
    <mergeCell ref="N20:O20"/>
    <mergeCell ref="A17:A21"/>
    <mergeCell ref="B17:B21"/>
    <mergeCell ref="C17:C21"/>
    <mergeCell ref="H20:I20"/>
    <mergeCell ref="D18:D21"/>
    <mergeCell ref="E18:F20"/>
    <mergeCell ref="A55:A59"/>
    <mergeCell ref="A33:A34"/>
    <mergeCell ref="A37:A38"/>
    <mergeCell ref="A43:A44"/>
    <mergeCell ref="A47:A48"/>
    <mergeCell ref="C78:C87"/>
    <mergeCell ref="A78:A87"/>
    <mergeCell ref="A73:A77"/>
    <mergeCell ref="D90:I90"/>
    <mergeCell ref="J90:O90"/>
    <mergeCell ref="P89:U89"/>
    <mergeCell ref="P90:U90"/>
    <mergeCell ref="J89:O89"/>
    <mergeCell ref="D89:I89"/>
  </mergeCells>
  <printOptions/>
  <pageMargins left="0" right="0" top="0.3937007874015748" bottom="0" header="0.5118110236220472" footer="0.5118110236220472"/>
  <pageSetup fitToHeight="0" horizontalDpi="600" verticalDpi="600" orientation="landscape" paperSize="9" scale="47" r:id="rId3"/>
  <rowBreaks count="2" manualBreakCount="2">
    <brk id="39" max="21" man="1"/>
    <brk id="65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19"/>
  <sheetViews>
    <sheetView zoomScale="70" zoomScaleNormal="70" zoomScalePageLayoutView="0" workbookViewId="0" topLeftCell="A4">
      <selection activeCell="K30" sqref="K30"/>
    </sheetView>
  </sheetViews>
  <sheetFormatPr defaultColWidth="9.00390625" defaultRowHeight="12.75" outlineLevelRow="1"/>
  <cols>
    <col min="1" max="1" width="8.25390625" style="1" customWidth="1"/>
    <col min="2" max="2" width="58.875" style="1" customWidth="1"/>
    <col min="3" max="3" width="12.625" style="1" customWidth="1"/>
    <col min="4" max="4" width="12.75390625" style="1" bestFit="1" customWidth="1"/>
    <col min="5" max="5" width="11.375" style="1" customWidth="1"/>
    <col min="6" max="6" width="14.125" style="1" customWidth="1"/>
    <col min="7" max="7" width="11.375" style="1" customWidth="1"/>
    <col min="8" max="8" width="9.25390625" style="1" bestFit="1" customWidth="1"/>
    <col min="9" max="9" width="14.00390625" style="1" bestFit="1" customWidth="1"/>
    <col min="10" max="10" width="12.75390625" style="1" customWidth="1"/>
    <col min="11" max="11" width="11.875" style="1" customWidth="1"/>
    <col min="12" max="12" width="11.25390625" style="1" customWidth="1"/>
    <col min="13" max="13" width="9.875" style="1" customWidth="1"/>
    <col min="14" max="14" width="10.75390625" style="1" customWidth="1"/>
    <col min="15" max="15" width="10.625" style="1" customWidth="1"/>
    <col min="16" max="16" width="10.125" style="1" customWidth="1"/>
    <col min="17" max="17" width="11.625" style="1" customWidth="1"/>
    <col min="18" max="18" width="10.375" style="1" customWidth="1"/>
    <col min="19" max="19" width="11.125" style="1" customWidth="1"/>
    <col min="20" max="20" width="10.25390625" style="1" customWidth="1"/>
    <col min="21" max="21" width="9.875" style="1" customWidth="1"/>
    <col min="22" max="22" width="44.00390625" style="258" customWidth="1"/>
    <col min="23" max="16384" width="9.125" style="1" customWidth="1"/>
  </cols>
  <sheetData>
    <row r="1" spans="1:22" ht="15.75">
      <c r="A1" s="13"/>
      <c r="B1" s="13"/>
      <c r="C1" s="13"/>
      <c r="D1" s="13"/>
      <c r="E1" s="14"/>
      <c r="F1" s="14"/>
      <c r="G1" s="14"/>
      <c r="H1" s="14"/>
      <c r="I1" s="14"/>
      <c r="Q1" s="387" t="s">
        <v>112</v>
      </c>
      <c r="R1" s="387"/>
      <c r="S1" s="387"/>
      <c r="T1" s="387"/>
      <c r="U1" s="387"/>
      <c r="V1" s="387"/>
    </row>
    <row r="2" spans="1:22" ht="15.75">
      <c r="A2" s="13"/>
      <c r="B2" s="13"/>
      <c r="C2" s="13"/>
      <c r="D2" s="13"/>
      <c r="E2" s="14"/>
      <c r="F2" s="14"/>
      <c r="G2" s="14"/>
      <c r="H2" s="14"/>
      <c r="I2" s="14"/>
      <c r="Q2" s="387" t="s">
        <v>113</v>
      </c>
      <c r="R2" s="387"/>
      <c r="S2" s="387"/>
      <c r="T2" s="387"/>
      <c r="U2" s="387"/>
      <c r="V2" s="387"/>
    </row>
    <row r="3" spans="1:22" ht="15.75">
      <c r="A3" s="13"/>
      <c r="B3" s="13"/>
      <c r="C3" s="13"/>
      <c r="D3" s="13"/>
      <c r="E3" s="14"/>
      <c r="F3" s="14"/>
      <c r="G3" s="14"/>
      <c r="H3" s="14"/>
      <c r="I3" s="14"/>
      <c r="Q3" s="387" t="s">
        <v>104</v>
      </c>
      <c r="R3" s="387"/>
      <c r="S3" s="387"/>
      <c r="T3" s="387"/>
      <c r="U3" s="387"/>
      <c r="V3" s="387"/>
    </row>
    <row r="4" spans="1:22" ht="15.75">
      <c r="A4" s="14"/>
      <c r="B4" s="14"/>
      <c r="C4" s="14"/>
      <c r="D4" s="15"/>
      <c r="E4" s="15"/>
      <c r="F4" s="15"/>
      <c r="G4" s="15"/>
      <c r="H4" s="15"/>
      <c r="I4" s="15"/>
      <c r="Q4" s="387" t="s">
        <v>106</v>
      </c>
      <c r="R4" s="387"/>
      <c r="S4" s="387"/>
      <c r="T4" s="387"/>
      <c r="U4" s="387"/>
      <c r="V4" s="387"/>
    </row>
    <row r="5" spans="1:22" ht="15.75" outlineLevel="1">
      <c r="A5" s="16"/>
      <c r="B5" s="28"/>
      <c r="C5" s="29"/>
      <c r="D5" s="21"/>
      <c r="E5" s="21"/>
      <c r="F5" s="21"/>
      <c r="G5" s="21"/>
      <c r="H5" s="21"/>
      <c r="I5" s="21"/>
      <c r="P5" s="10"/>
      <c r="Q5" s="411" t="s">
        <v>105</v>
      </c>
      <c r="R5" s="411"/>
      <c r="S5" s="411"/>
      <c r="T5" s="411"/>
      <c r="U5" s="411"/>
      <c r="V5" s="411"/>
    </row>
    <row r="6" spans="1:22" ht="15.75" outlineLevel="1">
      <c r="A6" s="22"/>
      <c r="B6" s="412"/>
      <c r="C6" s="412"/>
      <c r="D6" s="412"/>
      <c r="E6" s="412"/>
      <c r="F6" s="412"/>
      <c r="G6" s="412"/>
      <c r="H6" s="17"/>
      <c r="I6" s="17"/>
      <c r="P6" s="10"/>
      <c r="Q6" s="411" t="s">
        <v>120</v>
      </c>
      <c r="R6" s="411"/>
      <c r="S6" s="411"/>
      <c r="T6" s="411"/>
      <c r="U6" s="411"/>
      <c r="V6" s="411"/>
    </row>
    <row r="7" spans="1:22" ht="15.75" customHeight="1" outlineLevel="1">
      <c r="A7" s="22"/>
      <c r="B7" s="22"/>
      <c r="C7" s="2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1"/>
      <c r="V7" s="238"/>
    </row>
    <row r="8" spans="1:22" ht="30.75" customHeight="1" outlineLevel="1">
      <c r="A8" s="16"/>
      <c r="B8" s="410" t="s">
        <v>146</v>
      </c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31"/>
      <c r="Q8" s="31"/>
      <c r="R8" s="31"/>
      <c r="S8" s="31"/>
      <c r="T8" s="31"/>
      <c r="U8" s="31"/>
      <c r="V8" s="238"/>
    </row>
    <row r="9" spans="1:22" ht="22.5" customHeight="1" outlineLevel="1">
      <c r="A9" s="1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1"/>
      <c r="Q9" s="31"/>
      <c r="R9" s="31"/>
      <c r="S9" s="31"/>
      <c r="T9" s="31"/>
      <c r="U9" s="31"/>
      <c r="V9" s="238"/>
    </row>
    <row r="10" spans="1:22" ht="15.75" outlineLevel="1">
      <c r="A10" s="16"/>
      <c r="B10" s="23" t="s">
        <v>147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1"/>
      <c r="O10" s="31"/>
      <c r="P10" s="31"/>
      <c r="Q10" s="31"/>
      <c r="R10" s="31"/>
      <c r="S10" s="31"/>
      <c r="T10" s="31"/>
      <c r="U10" s="31"/>
      <c r="V10" s="238"/>
    </row>
    <row r="11" spans="1:22" ht="15.75" outlineLevel="1">
      <c r="A11" s="16"/>
      <c r="B11" s="23" t="s">
        <v>148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1"/>
      <c r="O11" s="31"/>
      <c r="P11" s="31"/>
      <c r="Q11" s="31"/>
      <c r="R11" s="31"/>
      <c r="S11" s="31"/>
      <c r="T11" s="31"/>
      <c r="U11" s="31"/>
      <c r="V11" s="238"/>
    </row>
    <row r="12" spans="1:22" ht="15.75" outlineLevel="1">
      <c r="A12" s="16"/>
      <c r="B12" s="23" t="s">
        <v>149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1"/>
      <c r="O12" s="31"/>
      <c r="P12" s="31"/>
      <c r="Q12" s="31"/>
      <c r="R12" s="31"/>
      <c r="S12" s="31"/>
      <c r="T12" s="31"/>
      <c r="U12" s="31"/>
      <c r="V12" s="238"/>
    </row>
    <row r="13" spans="1:22" ht="15.75" outlineLevel="1">
      <c r="A13" s="16"/>
      <c r="B13" s="23" t="s">
        <v>150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1"/>
      <c r="O13" s="31"/>
      <c r="P13" s="31"/>
      <c r="Q13" s="31"/>
      <c r="R13" s="31"/>
      <c r="S13" s="31"/>
      <c r="T13" s="31"/>
      <c r="U13" s="31"/>
      <c r="V13" s="238"/>
    </row>
    <row r="14" spans="1:22" ht="15.75" outlineLevel="1">
      <c r="A14" s="16"/>
      <c r="B14" s="23" t="s">
        <v>151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1"/>
      <c r="O14" s="31"/>
      <c r="P14" s="31"/>
      <c r="Q14" s="31"/>
      <c r="R14" s="31"/>
      <c r="S14" s="31"/>
      <c r="T14" s="31"/>
      <c r="U14" s="31"/>
      <c r="V14" s="238"/>
    </row>
    <row r="15" spans="1:22" ht="15.75" outlineLevel="1">
      <c r="A15" s="33"/>
      <c r="B15" s="17" t="s">
        <v>152</v>
      </c>
      <c r="C15" s="24"/>
      <c r="D15" s="22"/>
      <c r="E15" s="22"/>
      <c r="F15" s="17"/>
      <c r="G15" s="17"/>
      <c r="H15" s="17"/>
      <c r="I15" s="17"/>
      <c r="J15" s="17"/>
      <c r="K15" s="22"/>
      <c r="L15" s="17"/>
      <c r="M15" s="17"/>
      <c r="N15" s="10"/>
      <c r="O15" s="10"/>
      <c r="P15" s="10"/>
      <c r="Q15" s="10"/>
      <c r="R15" s="10"/>
      <c r="S15" s="10"/>
      <c r="T15" s="10"/>
      <c r="U15" s="10"/>
      <c r="V15" s="239"/>
    </row>
    <row r="16" spans="1:22" ht="19.5" customHeight="1" outlineLevel="1" thickBot="1">
      <c r="A16" s="33"/>
      <c r="B16" s="17"/>
      <c r="C16" s="24"/>
      <c r="D16" s="34"/>
      <c r="E16" s="34"/>
      <c r="F16" s="34"/>
      <c r="G16" s="34"/>
      <c r="H16" s="34"/>
      <c r="I16" s="34"/>
      <c r="J16" s="17"/>
      <c r="K16" s="22"/>
      <c r="L16" s="17"/>
      <c r="M16" s="17"/>
      <c r="N16" s="376"/>
      <c r="O16" s="376"/>
      <c r="P16" s="10"/>
      <c r="Q16" s="10"/>
      <c r="R16" s="10"/>
      <c r="S16" s="10"/>
      <c r="T16" s="10"/>
      <c r="U16" s="10"/>
      <c r="V16" s="239"/>
    </row>
    <row r="17" spans="1:22" ht="40.5" customHeight="1" thickBot="1">
      <c r="A17" s="365" t="s">
        <v>153</v>
      </c>
      <c r="B17" s="368" t="s">
        <v>154</v>
      </c>
      <c r="C17" s="371" t="s">
        <v>155</v>
      </c>
      <c r="D17" s="391" t="s">
        <v>156</v>
      </c>
      <c r="E17" s="392"/>
      <c r="F17" s="392"/>
      <c r="G17" s="392"/>
      <c r="H17" s="392"/>
      <c r="I17" s="393"/>
      <c r="J17" s="365" t="s">
        <v>157</v>
      </c>
      <c r="K17" s="385"/>
      <c r="L17" s="385"/>
      <c r="M17" s="385"/>
      <c r="N17" s="385"/>
      <c r="O17" s="371"/>
      <c r="P17" s="391" t="s">
        <v>158</v>
      </c>
      <c r="Q17" s="392"/>
      <c r="R17" s="392"/>
      <c r="S17" s="392"/>
      <c r="T17" s="392"/>
      <c r="U17" s="393"/>
      <c r="V17" s="368" t="s">
        <v>159</v>
      </c>
    </row>
    <row r="18" spans="1:22" ht="30.75" customHeight="1" thickBot="1">
      <c r="A18" s="366"/>
      <c r="B18" s="369"/>
      <c r="C18" s="372"/>
      <c r="D18" s="368" t="s">
        <v>160</v>
      </c>
      <c r="E18" s="355" t="s">
        <v>161</v>
      </c>
      <c r="F18" s="357"/>
      <c r="G18" s="355" t="s">
        <v>162</v>
      </c>
      <c r="H18" s="356"/>
      <c r="I18" s="357"/>
      <c r="J18" s="368" t="s">
        <v>160</v>
      </c>
      <c r="K18" s="355" t="s">
        <v>161</v>
      </c>
      <c r="L18" s="357"/>
      <c r="M18" s="355" t="s">
        <v>162</v>
      </c>
      <c r="N18" s="356"/>
      <c r="O18" s="357"/>
      <c r="P18" s="380" t="s">
        <v>67</v>
      </c>
      <c r="Q18" s="377" t="s">
        <v>163</v>
      </c>
      <c r="R18" s="363"/>
      <c r="S18" s="363"/>
      <c r="T18" s="363"/>
      <c r="U18" s="364"/>
      <c r="V18" s="369"/>
    </row>
    <row r="19" spans="1:22" ht="76.5" customHeight="1" thickBot="1">
      <c r="A19" s="366"/>
      <c r="B19" s="369"/>
      <c r="C19" s="372"/>
      <c r="D19" s="369"/>
      <c r="E19" s="374"/>
      <c r="F19" s="375"/>
      <c r="G19" s="358"/>
      <c r="H19" s="359"/>
      <c r="I19" s="360"/>
      <c r="J19" s="369"/>
      <c r="K19" s="374"/>
      <c r="L19" s="375"/>
      <c r="M19" s="358"/>
      <c r="N19" s="359"/>
      <c r="O19" s="360"/>
      <c r="P19" s="381"/>
      <c r="Q19" s="394" t="s">
        <v>161</v>
      </c>
      <c r="R19" s="395"/>
      <c r="S19" s="398" t="s">
        <v>162</v>
      </c>
      <c r="T19" s="399"/>
      <c r="U19" s="379"/>
      <c r="V19" s="369"/>
    </row>
    <row r="20" spans="1:22" ht="29.25" customHeight="1" thickBot="1">
      <c r="A20" s="366"/>
      <c r="B20" s="369"/>
      <c r="C20" s="372"/>
      <c r="D20" s="369"/>
      <c r="E20" s="358"/>
      <c r="F20" s="360"/>
      <c r="G20" s="361" t="s">
        <v>164</v>
      </c>
      <c r="H20" s="363" t="s">
        <v>165</v>
      </c>
      <c r="I20" s="364"/>
      <c r="J20" s="369"/>
      <c r="K20" s="358"/>
      <c r="L20" s="360"/>
      <c r="M20" s="361" t="s">
        <v>164</v>
      </c>
      <c r="N20" s="363" t="s">
        <v>165</v>
      </c>
      <c r="O20" s="364"/>
      <c r="P20" s="381"/>
      <c r="Q20" s="396"/>
      <c r="R20" s="397"/>
      <c r="S20" s="361" t="s">
        <v>164</v>
      </c>
      <c r="T20" s="363" t="s">
        <v>165</v>
      </c>
      <c r="U20" s="364"/>
      <c r="V20" s="369"/>
    </row>
    <row r="21" spans="1:22" ht="36.75" customHeight="1" thickBot="1">
      <c r="A21" s="367"/>
      <c r="B21" s="370"/>
      <c r="C21" s="373"/>
      <c r="D21" s="370"/>
      <c r="E21" s="38" t="s">
        <v>166</v>
      </c>
      <c r="F21" s="37" t="s">
        <v>167</v>
      </c>
      <c r="G21" s="362"/>
      <c r="H21" s="38" t="s">
        <v>168</v>
      </c>
      <c r="I21" s="37" t="s">
        <v>169</v>
      </c>
      <c r="J21" s="370"/>
      <c r="K21" s="38" t="s">
        <v>166</v>
      </c>
      <c r="L21" s="37" t="s">
        <v>167</v>
      </c>
      <c r="M21" s="362"/>
      <c r="N21" s="38" t="s">
        <v>168</v>
      </c>
      <c r="O21" s="37" t="s">
        <v>169</v>
      </c>
      <c r="P21" s="382"/>
      <c r="Q21" s="38" t="s">
        <v>166</v>
      </c>
      <c r="R21" s="37" t="s">
        <v>167</v>
      </c>
      <c r="S21" s="362"/>
      <c r="T21" s="38" t="s">
        <v>168</v>
      </c>
      <c r="U21" s="37" t="s">
        <v>169</v>
      </c>
      <c r="V21" s="370"/>
    </row>
    <row r="22" spans="1:22" ht="16.5" thickBot="1">
      <c r="A22" s="40">
        <v>1</v>
      </c>
      <c r="B22" s="35">
        <v>2</v>
      </c>
      <c r="C22" s="36">
        <v>3</v>
      </c>
      <c r="D22" s="41">
        <v>4</v>
      </c>
      <c r="E22" s="42">
        <v>5</v>
      </c>
      <c r="F22" s="43">
        <v>6</v>
      </c>
      <c r="G22" s="41">
        <v>7</v>
      </c>
      <c r="H22" s="44">
        <v>8</v>
      </c>
      <c r="I22" s="45">
        <v>9</v>
      </c>
      <c r="J22" s="41">
        <v>10</v>
      </c>
      <c r="K22" s="46">
        <v>11</v>
      </c>
      <c r="L22" s="43">
        <v>12</v>
      </c>
      <c r="M22" s="41">
        <v>13</v>
      </c>
      <c r="N22" s="44">
        <v>14</v>
      </c>
      <c r="O22" s="43">
        <v>15</v>
      </c>
      <c r="P22" s="43">
        <v>16</v>
      </c>
      <c r="Q22" s="44">
        <v>17</v>
      </c>
      <c r="R22" s="48">
        <v>18</v>
      </c>
      <c r="S22" s="47">
        <v>19</v>
      </c>
      <c r="T22" s="44">
        <v>20</v>
      </c>
      <c r="U22" s="43">
        <v>21</v>
      </c>
      <c r="V22" s="47">
        <v>22</v>
      </c>
    </row>
    <row r="23" spans="1:22" ht="31.5">
      <c r="A23" s="49" t="s">
        <v>12</v>
      </c>
      <c r="B23" s="50" t="s">
        <v>170</v>
      </c>
      <c r="C23" s="51" t="s">
        <v>171</v>
      </c>
      <c r="D23" s="52">
        <f aca="true" t="shared" si="0" ref="D23:O23">D25</f>
        <v>8627200</v>
      </c>
      <c r="E23" s="53">
        <f t="shared" si="0"/>
        <v>6356679</v>
      </c>
      <c r="F23" s="54">
        <f t="shared" si="0"/>
        <v>1207849</v>
      </c>
      <c r="G23" s="55">
        <f t="shared" si="0"/>
        <v>48306</v>
      </c>
      <c r="H23" s="56">
        <f t="shared" si="0"/>
        <v>975027</v>
      </c>
      <c r="I23" s="54">
        <f t="shared" si="0"/>
        <v>39339</v>
      </c>
      <c r="J23" s="52">
        <f t="shared" si="0"/>
        <v>8779352.22119355</v>
      </c>
      <c r="K23" s="53">
        <f t="shared" si="0"/>
        <v>6735152.498900751</v>
      </c>
      <c r="L23" s="54">
        <f t="shared" si="0"/>
        <v>1104078.2876128</v>
      </c>
      <c r="M23" s="55">
        <f t="shared" si="0"/>
        <v>0</v>
      </c>
      <c r="N23" s="56">
        <f t="shared" si="0"/>
        <v>931038.7379599999</v>
      </c>
      <c r="O23" s="54">
        <f t="shared" si="0"/>
        <v>9082.69672</v>
      </c>
      <c r="P23" s="57">
        <f aca="true" t="shared" si="1" ref="P23:U23">J23/D23-1</f>
        <v>0.01763633869546899</v>
      </c>
      <c r="Q23" s="58">
        <f t="shared" si="1"/>
        <v>0.05953950150711562</v>
      </c>
      <c r="R23" s="59">
        <f t="shared" si="1"/>
        <v>-0.08591364681114944</v>
      </c>
      <c r="S23" s="60">
        <f t="shared" si="1"/>
        <v>-1</v>
      </c>
      <c r="T23" s="58">
        <f t="shared" si="1"/>
        <v>-0.04511491685871272</v>
      </c>
      <c r="U23" s="59">
        <f t="shared" si="1"/>
        <v>-0.7691172444647805</v>
      </c>
      <c r="V23" s="226"/>
    </row>
    <row r="24" spans="1:22" ht="20.25" customHeight="1">
      <c r="A24" s="61"/>
      <c r="B24" s="62" t="s">
        <v>172</v>
      </c>
      <c r="C24" s="63"/>
      <c r="D24" s="64"/>
      <c r="E24" s="65"/>
      <c r="F24" s="66"/>
      <c r="G24" s="68"/>
      <c r="H24" s="69"/>
      <c r="I24" s="66"/>
      <c r="J24" s="64"/>
      <c r="K24" s="65"/>
      <c r="L24" s="66"/>
      <c r="M24" s="68"/>
      <c r="N24" s="69"/>
      <c r="O24" s="66"/>
      <c r="P24" s="70"/>
      <c r="Q24" s="71"/>
      <c r="R24" s="72"/>
      <c r="S24" s="73"/>
      <c r="T24" s="71"/>
      <c r="U24" s="72"/>
      <c r="V24" s="227"/>
    </row>
    <row r="25" spans="1:22" ht="18.75">
      <c r="A25" s="74">
        <v>1</v>
      </c>
      <c r="B25" s="75" t="s">
        <v>173</v>
      </c>
      <c r="C25" s="76" t="s">
        <v>16</v>
      </c>
      <c r="D25" s="77">
        <f aca="true" t="shared" si="2" ref="D25:O25">D27+D28+D29+D30</f>
        <v>8627200</v>
      </c>
      <c r="E25" s="78">
        <f t="shared" si="2"/>
        <v>6356679</v>
      </c>
      <c r="F25" s="79">
        <f t="shared" si="2"/>
        <v>1207849</v>
      </c>
      <c r="G25" s="80">
        <f t="shared" si="2"/>
        <v>48306</v>
      </c>
      <c r="H25" s="81">
        <f t="shared" si="2"/>
        <v>975027</v>
      </c>
      <c r="I25" s="79">
        <f t="shared" si="2"/>
        <v>39339</v>
      </c>
      <c r="J25" s="77">
        <f t="shared" si="2"/>
        <v>8779352.22119355</v>
      </c>
      <c r="K25" s="78">
        <f t="shared" si="2"/>
        <v>6735152.498900751</v>
      </c>
      <c r="L25" s="79">
        <f t="shared" si="2"/>
        <v>1104078.2876128</v>
      </c>
      <c r="M25" s="80">
        <f t="shared" si="2"/>
        <v>0</v>
      </c>
      <c r="N25" s="81">
        <f t="shared" si="2"/>
        <v>931038.7379599999</v>
      </c>
      <c r="O25" s="79">
        <f t="shared" si="2"/>
        <v>9082.69672</v>
      </c>
      <c r="P25" s="83">
        <f aca="true" t="shared" si="3" ref="P25:U25">J25/D25-1</f>
        <v>0.01763633869546899</v>
      </c>
      <c r="Q25" s="84">
        <f t="shared" si="3"/>
        <v>0.05953950150711562</v>
      </c>
      <c r="R25" s="85">
        <f t="shared" si="3"/>
        <v>-0.08591364681114944</v>
      </c>
      <c r="S25" s="86">
        <f t="shared" si="3"/>
        <v>-1</v>
      </c>
      <c r="T25" s="84">
        <f t="shared" si="3"/>
        <v>-0.04511491685871272</v>
      </c>
      <c r="U25" s="85">
        <f t="shared" si="3"/>
        <v>-0.7691172444647805</v>
      </c>
      <c r="V25" s="227"/>
    </row>
    <row r="26" spans="1:22" ht="21" customHeight="1">
      <c r="A26" s="61"/>
      <c r="B26" s="62" t="s">
        <v>172</v>
      </c>
      <c r="C26" s="63" t="s">
        <v>16</v>
      </c>
      <c r="D26" s="64"/>
      <c r="E26" s="65"/>
      <c r="F26" s="66"/>
      <c r="G26" s="68"/>
      <c r="H26" s="69"/>
      <c r="I26" s="66"/>
      <c r="J26" s="64"/>
      <c r="K26" s="65"/>
      <c r="L26" s="66"/>
      <c r="M26" s="68"/>
      <c r="N26" s="69"/>
      <c r="O26" s="66"/>
      <c r="P26" s="83"/>
      <c r="Q26" s="84"/>
      <c r="R26" s="85"/>
      <c r="S26" s="86"/>
      <c r="T26" s="84"/>
      <c r="U26" s="85"/>
      <c r="V26" s="227"/>
    </row>
    <row r="27" spans="1:22" ht="81.75" customHeight="1">
      <c r="A27" s="61" t="s">
        <v>1</v>
      </c>
      <c r="B27" s="62" t="s">
        <v>174</v>
      </c>
      <c r="C27" s="63" t="s">
        <v>16</v>
      </c>
      <c r="D27" s="64">
        <f>E27+F27</f>
        <v>3418790</v>
      </c>
      <c r="E27" s="65">
        <v>2873263</v>
      </c>
      <c r="F27" s="66">
        <v>545527</v>
      </c>
      <c r="G27" s="64">
        <v>0</v>
      </c>
      <c r="H27" s="65">
        <v>0</v>
      </c>
      <c r="I27" s="67">
        <v>0</v>
      </c>
      <c r="J27" s="64">
        <f>K27+L27+M27+N27+O27</f>
        <v>3488405.60942717</v>
      </c>
      <c r="K27" s="65">
        <f>('[2]г.Павлодар продолж. '!$AF$1572+'[2]г.Павлодар продолж. '!$AF$1692+'[2]г.Павлодар продолж. '!$AF$1857)</f>
        <v>3018162.98284929</v>
      </c>
      <c r="L27" s="66">
        <f>('[2]г.Павлодар продолж. '!$AF$1632+'[2]г.Павлодар продолж. '!$AF$1782+'[2]г.Павлодар продолж. '!$AF$1938)</f>
        <v>470242.62657788</v>
      </c>
      <c r="M27" s="64">
        <v>0</v>
      </c>
      <c r="N27" s="65">
        <v>0</v>
      </c>
      <c r="O27" s="67">
        <v>0</v>
      </c>
      <c r="P27" s="86">
        <f>J27/D27-1</f>
        <v>0.02036264568083146</v>
      </c>
      <c r="Q27" s="84">
        <f>K27/E27-1</f>
        <v>0.05043046280458485</v>
      </c>
      <c r="R27" s="85">
        <f>L27/F27-1</f>
        <v>-0.13800301987274688</v>
      </c>
      <c r="S27" s="86"/>
      <c r="T27" s="84"/>
      <c r="U27" s="85"/>
      <c r="V27" s="160" t="s">
        <v>175</v>
      </c>
    </row>
    <row r="28" spans="1:22" ht="90.75" customHeight="1">
      <c r="A28" s="61" t="s">
        <v>2</v>
      </c>
      <c r="B28" s="62" t="s">
        <v>176</v>
      </c>
      <c r="C28" s="63" t="s">
        <v>16</v>
      </c>
      <c r="D28" s="64">
        <f>I28</f>
        <v>39339</v>
      </c>
      <c r="E28" s="65">
        <v>0</v>
      </c>
      <c r="F28" s="66">
        <v>0</v>
      </c>
      <c r="G28" s="64">
        <v>0</v>
      </c>
      <c r="H28" s="65">
        <v>0</v>
      </c>
      <c r="I28" s="67">
        <v>39339</v>
      </c>
      <c r="J28" s="64">
        <f>K28+L28+M28+N28+O28</f>
        <v>9082.69672</v>
      </c>
      <c r="K28" s="65">
        <v>0</v>
      </c>
      <c r="L28" s="66">
        <v>0</v>
      </c>
      <c r="M28" s="64">
        <v>0</v>
      </c>
      <c r="N28" s="65">
        <v>0</v>
      </c>
      <c r="O28" s="67">
        <f>('[2]г.Павлодар продолж. '!$AF$1512+'[2]г.Павлодар продолж. '!$AF$1518)</f>
        <v>9082.69672</v>
      </c>
      <c r="P28" s="86">
        <f>J28/D28-1</f>
        <v>-0.7691172444647805</v>
      </c>
      <c r="Q28" s="84"/>
      <c r="R28" s="85"/>
      <c r="S28" s="86"/>
      <c r="T28" s="84"/>
      <c r="U28" s="85">
        <f>O28/I28-1</f>
        <v>-0.7691172444647805</v>
      </c>
      <c r="V28" s="228" t="s">
        <v>177</v>
      </c>
    </row>
    <row r="29" spans="1:22" ht="87" customHeight="1">
      <c r="A29" s="61" t="s">
        <v>58</v>
      </c>
      <c r="B29" s="62" t="s">
        <v>178</v>
      </c>
      <c r="C29" s="63" t="s">
        <v>16</v>
      </c>
      <c r="D29" s="64">
        <f>G29+H29</f>
        <v>1023333</v>
      </c>
      <c r="E29" s="65">
        <v>0</v>
      </c>
      <c r="F29" s="66">
        <v>0</v>
      </c>
      <c r="G29" s="64">
        <v>48306</v>
      </c>
      <c r="H29" s="65">
        <v>975027</v>
      </c>
      <c r="I29" s="67">
        <v>0</v>
      </c>
      <c r="J29" s="64">
        <f>K29+L29+M29+N29+O29</f>
        <v>931038.7379599999</v>
      </c>
      <c r="K29" s="65">
        <v>0</v>
      </c>
      <c r="L29" s="66">
        <v>0</v>
      </c>
      <c r="M29" s="64">
        <f>'[1]г.Павлодар1'!$EA$828</f>
        <v>0</v>
      </c>
      <c r="N29" s="65">
        <f>('[2]г.Павлодар продолж. '!$AF$1515+'[2]г.Павлодар продолж. '!$AF$1509)</f>
        <v>931038.7379599999</v>
      </c>
      <c r="O29" s="67">
        <v>0</v>
      </c>
      <c r="P29" s="86">
        <f>J29/D29-1</f>
        <v>-0.09018986199018308</v>
      </c>
      <c r="Q29" s="84"/>
      <c r="R29" s="85"/>
      <c r="S29" s="86">
        <f>M29/G29-1</f>
        <v>-1</v>
      </c>
      <c r="T29" s="84">
        <f>N29/H29-1</f>
        <v>-0.04511491685871272</v>
      </c>
      <c r="U29" s="85"/>
      <c r="V29" s="62" t="s">
        <v>179</v>
      </c>
    </row>
    <row r="30" spans="1:22" ht="47.25">
      <c r="A30" s="61" t="s">
        <v>59</v>
      </c>
      <c r="B30" s="62" t="s">
        <v>180</v>
      </c>
      <c r="C30" s="63" t="s">
        <v>16</v>
      </c>
      <c r="D30" s="64">
        <f>E30+F30</f>
        <v>4145738</v>
      </c>
      <c r="E30" s="65">
        <v>3483416</v>
      </c>
      <c r="F30" s="66">
        <v>662322</v>
      </c>
      <c r="G30" s="64">
        <v>0</v>
      </c>
      <c r="H30" s="65">
        <v>0</v>
      </c>
      <c r="I30" s="67">
        <v>0</v>
      </c>
      <c r="J30" s="64">
        <f>K30+L30+M30+N30+O30</f>
        <v>4350825.17708638</v>
      </c>
      <c r="K30" s="65">
        <f>('[2]г.Павлодар продолж. '!$AG$1572+'[2]г.Павлодар продолж. '!$AG$1692+'[2]г.Павлодар продолж. '!$AG$1857)</f>
        <v>3716989.51605146</v>
      </c>
      <c r="L30" s="66">
        <f>('[2]г.Павлодар продолж. '!$AG$1632+'[2]г.Павлодар продолж. '!$AG$1782+'[2]г.Павлодар продолж. '!$AG$1938)</f>
        <v>633835.6610349199</v>
      </c>
      <c r="M30" s="64">
        <v>0</v>
      </c>
      <c r="N30" s="65">
        <v>0</v>
      </c>
      <c r="O30" s="67">
        <v>0</v>
      </c>
      <c r="P30" s="86">
        <f>J30/D30-1</f>
        <v>0.04946940136747191</v>
      </c>
      <c r="Q30" s="84">
        <f>K30/E30-1</f>
        <v>0.06705300660370739</v>
      </c>
      <c r="R30" s="85">
        <f>L30/F30-1</f>
        <v>-0.043009803335960606</v>
      </c>
      <c r="S30" s="86"/>
      <c r="T30" s="84"/>
      <c r="U30" s="85"/>
      <c r="V30" s="228" t="s">
        <v>181</v>
      </c>
    </row>
    <row r="31" spans="1:22" ht="20.25" customHeight="1">
      <c r="A31" s="74" t="s">
        <v>19</v>
      </c>
      <c r="B31" s="75" t="s">
        <v>182</v>
      </c>
      <c r="C31" s="76" t="s">
        <v>16</v>
      </c>
      <c r="D31" s="77">
        <f>SUM(E31:I31)-1</f>
        <v>145076.53406853258</v>
      </c>
      <c r="E31" s="78">
        <f>(E33+E37+E42+E43+E47)+1</f>
        <v>109532.35813939158</v>
      </c>
      <c r="F31" s="79">
        <f>(F33+F37+F42+F43+F47)</f>
        <v>20793.5</v>
      </c>
      <c r="G31" s="80">
        <f>G33+G37+G42+G43+G47</f>
        <v>326.4</v>
      </c>
      <c r="H31" s="81">
        <f>H33+H37+H42+H43+H47</f>
        <v>12618.5</v>
      </c>
      <c r="I31" s="79">
        <f>I33+I37+I42+I43+I47+1</f>
        <v>1806.7759291410152</v>
      </c>
      <c r="J31" s="77">
        <f aca="true" t="shared" si="4" ref="J31:O31">J33+J37+J42+J43+J47</f>
        <v>204608.80655666726</v>
      </c>
      <c r="K31" s="78">
        <f t="shared" si="4"/>
        <v>160272.92332678844</v>
      </c>
      <c r="L31" s="79">
        <f t="shared" si="4"/>
        <v>27283.385135161498</v>
      </c>
      <c r="M31" s="80">
        <f t="shared" si="4"/>
        <v>0</v>
      </c>
      <c r="N31" s="81">
        <f t="shared" si="4"/>
        <v>16474.13570794174</v>
      </c>
      <c r="O31" s="79">
        <f t="shared" si="4"/>
        <v>578.3623867755839</v>
      </c>
      <c r="P31" s="83">
        <f>J31/D31-1</f>
        <v>0.41035080463124585</v>
      </c>
      <c r="Q31" s="87">
        <f>K31/E31-1</f>
        <v>0.46324726363349256</v>
      </c>
      <c r="R31" s="88">
        <f>L31/F31-1</f>
        <v>0.31211124318472105</v>
      </c>
      <c r="S31" s="83">
        <f>M31/G31-1</f>
        <v>-1</v>
      </c>
      <c r="T31" s="87">
        <f>N31/H31-1</f>
        <v>0.30555420279286283</v>
      </c>
      <c r="U31" s="88">
        <f>O31/I31-1</f>
        <v>-0.6798925769115425</v>
      </c>
      <c r="V31" s="227"/>
    </row>
    <row r="32" spans="1:22" ht="18.75">
      <c r="A32" s="61"/>
      <c r="B32" s="62" t="s">
        <v>172</v>
      </c>
      <c r="C32" s="63" t="s">
        <v>16</v>
      </c>
      <c r="D32" s="89"/>
      <c r="E32" s="65"/>
      <c r="F32" s="66"/>
      <c r="G32" s="68"/>
      <c r="H32" s="69"/>
      <c r="I32" s="66"/>
      <c r="J32" s="89"/>
      <c r="K32" s="65"/>
      <c r="L32" s="66"/>
      <c r="M32" s="68"/>
      <c r="N32" s="69"/>
      <c r="O32" s="66"/>
      <c r="P32" s="83"/>
      <c r="Q32" s="84"/>
      <c r="R32" s="85"/>
      <c r="S32" s="86"/>
      <c r="T32" s="84"/>
      <c r="U32" s="85"/>
      <c r="V32" s="227"/>
    </row>
    <row r="33" spans="1:22" ht="18.75">
      <c r="A33" s="349">
        <v>2</v>
      </c>
      <c r="B33" s="75" t="s">
        <v>183</v>
      </c>
      <c r="C33" s="76" t="s">
        <v>16</v>
      </c>
      <c r="D33" s="90">
        <f>SUM(E33:I34)</f>
        <v>2261</v>
      </c>
      <c r="E33" s="78">
        <f>E35+E36</f>
        <v>1707</v>
      </c>
      <c r="F33" s="79">
        <f>F35+F36</f>
        <v>324</v>
      </c>
      <c r="G33" s="80">
        <f>G35+G36</f>
        <v>7</v>
      </c>
      <c r="H33" s="81">
        <f>H35+H36</f>
        <v>196</v>
      </c>
      <c r="I33" s="79">
        <f>I35+I36</f>
        <v>27</v>
      </c>
      <c r="J33" s="90">
        <f aca="true" t="shared" si="5" ref="J33:O33">J35+J36</f>
        <v>4820.428543750077</v>
      </c>
      <c r="K33" s="78">
        <f t="shared" si="5"/>
        <v>3775.9087079213673</v>
      </c>
      <c r="L33" s="79">
        <f t="shared" si="5"/>
        <v>642.7758936135268</v>
      </c>
      <c r="M33" s="80">
        <f t="shared" si="5"/>
        <v>0</v>
      </c>
      <c r="N33" s="81">
        <f t="shared" si="5"/>
        <v>388.1181623440101</v>
      </c>
      <c r="O33" s="79">
        <f t="shared" si="5"/>
        <v>13.625779871172414</v>
      </c>
      <c r="P33" s="83">
        <f aca="true" t="shared" si="6" ref="P33:U33">J33/D33-1</f>
        <v>1.1319896257187425</v>
      </c>
      <c r="Q33" s="84">
        <f t="shared" si="6"/>
        <v>1.2120144744706312</v>
      </c>
      <c r="R33" s="85">
        <f t="shared" si="6"/>
        <v>0.9838762148565643</v>
      </c>
      <c r="S33" s="86">
        <f t="shared" si="6"/>
        <v>-1</v>
      </c>
      <c r="T33" s="84">
        <f t="shared" si="6"/>
        <v>0.9801947058367861</v>
      </c>
      <c r="U33" s="85">
        <f t="shared" si="6"/>
        <v>-0.49534148625287355</v>
      </c>
      <c r="V33" s="227"/>
    </row>
    <row r="34" spans="1:22" ht="18.75">
      <c r="A34" s="349"/>
      <c r="B34" s="62" t="s">
        <v>172</v>
      </c>
      <c r="C34" s="63" t="s">
        <v>16</v>
      </c>
      <c r="D34" s="89"/>
      <c r="E34" s="65"/>
      <c r="F34" s="66"/>
      <c r="G34" s="68"/>
      <c r="H34" s="69"/>
      <c r="I34" s="66"/>
      <c r="J34" s="89"/>
      <c r="K34" s="65"/>
      <c r="L34" s="66"/>
      <c r="M34" s="68"/>
      <c r="N34" s="69"/>
      <c r="O34" s="66"/>
      <c r="P34" s="83"/>
      <c r="Q34" s="84"/>
      <c r="R34" s="85"/>
      <c r="S34" s="86"/>
      <c r="T34" s="84"/>
      <c r="U34" s="85"/>
      <c r="V34" s="227"/>
    </row>
    <row r="35" spans="1:22" ht="127.5" customHeight="1">
      <c r="A35" s="61" t="s">
        <v>3</v>
      </c>
      <c r="B35" s="62" t="s">
        <v>184</v>
      </c>
      <c r="C35" s="63" t="s">
        <v>16</v>
      </c>
      <c r="D35" s="89">
        <f>E35+F35+G35+H35+I35</f>
        <v>2228</v>
      </c>
      <c r="E35" s="65">
        <v>1682</v>
      </c>
      <c r="F35" s="66">
        <v>319</v>
      </c>
      <c r="G35" s="68">
        <v>7</v>
      </c>
      <c r="H35" s="69">
        <v>193</v>
      </c>
      <c r="I35" s="66">
        <v>27</v>
      </c>
      <c r="J35" s="89">
        <f>'[3]исполнение тар.сметы-правда '!$DA$22</f>
        <v>4783.723171540077</v>
      </c>
      <c r="K35" s="65">
        <f>J35*K72/100</f>
        <v>3747.1568794693244</v>
      </c>
      <c r="L35" s="66">
        <f>J35*L72/100</f>
        <v>637.8814473607575</v>
      </c>
      <c r="M35" s="68">
        <f>J35*M72/100</f>
        <v>0</v>
      </c>
      <c r="N35" s="69">
        <f>J35*N72/100</f>
        <v>385.16281895887295</v>
      </c>
      <c r="O35" s="66">
        <f>J35*O72/100</f>
        <v>13.522025751121953</v>
      </c>
      <c r="P35" s="73">
        <f aca="true" t="shared" si="7" ref="P35:U37">J35/D35-1</f>
        <v>1.147092985430914</v>
      </c>
      <c r="Q35" s="71">
        <f t="shared" si="7"/>
        <v>1.2277983825620242</v>
      </c>
      <c r="R35" s="72">
        <f t="shared" si="7"/>
        <v>0.9996283616324688</v>
      </c>
      <c r="S35" s="73">
        <f t="shared" si="7"/>
        <v>-1</v>
      </c>
      <c r="T35" s="71">
        <f t="shared" si="7"/>
        <v>0.9956622743983055</v>
      </c>
      <c r="U35" s="72">
        <f t="shared" si="7"/>
        <v>-0.49918423143992763</v>
      </c>
      <c r="V35" s="196" t="s">
        <v>185</v>
      </c>
    </row>
    <row r="36" spans="1:22" ht="18.75">
      <c r="A36" s="61" t="s">
        <v>4</v>
      </c>
      <c r="B36" s="62" t="s">
        <v>186</v>
      </c>
      <c r="C36" s="63" t="s">
        <v>16</v>
      </c>
      <c r="D36" s="89">
        <f>E36+F36+G36+H36+I36</f>
        <v>33</v>
      </c>
      <c r="E36" s="65">
        <v>25</v>
      </c>
      <c r="F36" s="66">
        <v>5</v>
      </c>
      <c r="G36" s="68">
        <v>0</v>
      </c>
      <c r="H36" s="69">
        <v>3</v>
      </c>
      <c r="I36" s="66">
        <v>0</v>
      </c>
      <c r="J36" s="89">
        <f>'[3]исполнение тар.сметы-правда '!$DA$23</f>
        <v>36.70537221</v>
      </c>
      <c r="K36" s="65">
        <f>J36*K72/100</f>
        <v>28.751828452043064</v>
      </c>
      <c r="L36" s="66">
        <f>J36*L72/100</f>
        <v>4.894446252769327</v>
      </c>
      <c r="M36" s="68">
        <f>J36*M72/100</f>
        <v>0</v>
      </c>
      <c r="N36" s="69">
        <f>J36*N72/100</f>
        <v>2.9553433851371507</v>
      </c>
      <c r="O36" s="66">
        <f>J36*O72/100</f>
        <v>0.10375412005045995</v>
      </c>
      <c r="P36" s="86">
        <f t="shared" si="7"/>
        <v>0.11228400636363634</v>
      </c>
      <c r="Q36" s="84">
        <f t="shared" si="7"/>
        <v>0.15007313808172262</v>
      </c>
      <c r="R36" s="85">
        <f t="shared" si="7"/>
        <v>-0.02111074944613467</v>
      </c>
      <c r="S36" s="85"/>
      <c r="T36" s="84">
        <f>N36/H36-1</f>
        <v>-0.014885538287616407</v>
      </c>
      <c r="U36" s="72"/>
      <c r="V36" s="227"/>
    </row>
    <row r="37" spans="1:22" ht="18.75">
      <c r="A37" s="349">
        <v>3</v>
      </c>
      <c r="B37" s="75" t="s">
        <v>187</v>
      </c>
      <c r="C37" s="63" t="s">
        <v>16</v>
      </c>
      <c r="D37" s="90">
        <f aca="true" t="shared" si="8" ref="D37:I37">SUM(D39:D41)</f>
        <v>104208</v>
      </c>
      <c r="E37" s="78">
        <f t="shared" si="8"/>
        <v>78677</v>
      </c>
      <c r="F37" s="79">
        <f t="shared" si="8"/>
        <v>14950</v>
      </c>
      <c r="G37" s="80">
        <f t="shared" si="8"/>
        <v>205</v>
      </c>
      <c r="H37" s="81">
        <f t="shared" si="8"/>
        <v>9062</v>
      </c>
      <c r="I37" s="79">
        <f t="shared" si="8"/>
        <v>1314</v>
      </c>
      <c r="J37" s="90">
        <f aca="true" t="shared" si="9" ref="J37:O37">J39+J40+J41</f>
        <v>155705.10609316</v>
      </c>
      <c r="K37" s="78">
        <f t="shared" si="9"/>
        <v>121965.97473211407</v>
      </c>
      <c r="L37" s="79">
        <f t="shared" si="9"/>
        <v>20762.36330460351</v>
      </c>
      <c r="M37" s="80">
        <f t="shared" si="9"/>
        <v>0</v>
      </c>
      <c r="N37" s="81">
        <f t="shared" si="9"/>
        <v>12536.640486624252</v>
      </c>
      <c r="O37" s="79">
        <f t="shared" si="9"/>
        <v>440.1275698181873</v>
      </c>
      <c r="P37" s="83">
        <f t="shared" si="7"/>
        <v>0.4941761294061875</v>
      </c>
      <c r="Q37" s="87">
        <f t="shared" si="7"/>
        <v>0.5502113035844538</v>
      </c>
      <c r="R37" s="88">
        <f t="shared" si="7"/>
        <v>0.3887868431172916</v>
      </c>
      <c r="S37" s="83">
        <f>M37/G37-1</f>
        <v>-1</v>
      </c>
      <c r="T37" s="87">
        <f>N37/H37-1</f>
        <v>0.3834297601659955</v>
      </c>
      <c r="U37" s="88">
        <f>O37/I37-1</f>
        <v>-0.665047511553891</v>
      </c>
      <c r="V37" s="227"/>
    </row>
    <row r="38" spans="1:22" ht="14.25" customHeight="1">
      <c r="A38" s="349"/>
      <c r="B38" s="62" t="s">
        <v>172</v>
      </c>
      <c r="C38" s="63"/>
      <c r="D38" s="89"/>
      <c r="E38" s="65"/>
      <c r="F38" s="66"/>
      <c r="G38" s="68"/>
      <c r="H38" s="69"/>
      <c r="I38" s="66"/>
      <c r="J38" s="89"/>
      <c r="K38" s="65"/>
      <c r="L38" s="66"/>
      <c r="M38" s="68"/>
      <c r="N38" s="69"/>
      <c r="O38" s="66"/>
      <c r="P38" s="83"/>
      <c r="Q38" s="84"/>
      <c r="R38" s="85"/>
      <c r="S38" s="86"/>
      <c r="T38" s="84"/>
      <c r="U38" s="85"/>
      <c r="V38" s="227"/>
    </row>
    <row r="39" spans="1:22" ht="63">
      <c r="A39" s="61" t="s">
        <v>23</v>
      </c>
      <c r="B39" s="62" t="s">
        <v>188</v>
      </c>
      <c r="C39" s="63" t="s">
        <v>16</v>
      </c>
      <c r="D39" s="89">
        <f>E39+F39+G39+H39+I39</f>
        <v>94821</v>
      </c>
      <c r="E39" s="65">
        <f>71590</f>
        <v>71590</v>
      </c>
      <c r="F39" s="66">
        <v>13608</v>
      </c>
      <c r="G39" s="68">
        <v>177</v>
      </c>
      <c r="H39" s="69">
        <v>8245</v>
      </c>
      <c r="I39" s="66">
        <v>1201</v>
      </c>
      <c r="J39" s="89">
        <f>'[3]исполнение тар.сметы-правда '!$DA$26</f>
        <v>141973.8194454888</v>
      </c>
      <c r="K39" s="65">
        <f>J39*K72/100</f>
        <v>111210.06696305696</v>
      </c>
      <c r="L39" s="66">
        <f>J39*L72/100</f>
        <v>18931.376709674336</v>
      </c>
      <c r="M39" s="68">
        <f>J39*M72/100</f>
        <v>0</v>
      </c>
      <c r="N39" s="69">
        <f>J39*N72/100</f>
        <v>11431.062073430518</v>
      </c>
      <c r="O39" s="66">
        <f>J39*O72/100</f>
        <v>401.3136993270002</v>
      </c>
      <c r="P39" s="86">
        <f aca="true" t="shared" si="10" ref="P39:U43">J39/D39-1</f>
        <v>0.4972824526791406</v>
      </c>
      <c r="Q39" s="84">
        <f t="shared" si="10"/>
        <v>0.5534301852641006</v>
      </c>
      <c r="R39" s="85">
        <f t="shared" si="10"/>
        <v>0.3911946435680729</v>
      </c>
      <c r="S39" s="86">
        <f t="shared" si="10"/>
        <v>-1</v>
      </c>
      <c r="T39" s="84">
        <f t="shared" si="10"/>
        <v>0.38642353831783116</v>
      </c>
      <c r="U39" s="85">
        <f t="shared" si="10"/>
        <v>-0.6658503752481264</v>
      </c>
      <c r="V39" s="160" t="s">
        <v>189</v>
      </c>
    </row>
    <row r="40" spans="1:22" ht="15.75">
      <c r="A40" s="93" t="s">
        <v>25</v>
      </c>
      <c r="B40" s="92" t="s">
        <v>190</v>
      </c>
      <c r="C40" s="94" t="s">
        <v>16</v>
      </c>
      <c r="D40" s="97">
        <f>E40+F40+G40+H40+I40</f>
        <v>8107.591456269309</v>
      </c>
      <c r="E40" s="95">
        <v>6121</v>
      </c>
      <c r="F40" s="96">
        <v>1159</v>
      </c>
      <c r="G40" s="98">
        <v>24</v>
      </c>
      <c r="H40" s="99">
        <v>706</v>
      </c>
      <c r="I40" s="96">
        <v>97.59145626930862</v>
      </c>
      <c r="J40" s="97">
        <f>'[3]исполнение тар.сметы-правда '!$DA$27-J41</f>
        <v>11513.227619171208</v>
      </c>
      <c r="K40" s="95">
        <f>J40*K72/100</f>
        <v>9018.471289212266</v>
      </c>
      <c r="L40" s="96">
        <f>J40*L72/100</f>
        <v>1535.2214235980591</v>
      </c>
      <c r="M40" s="98">
        <f>J40*M72/100</f>
        <v>0</v>
      </c>
      <c r="N40" s="99">
        <f>J40*N72/100</f>
        <v>926.990765581341</v>
      </c>
      <c r="O40" s="96">
        <f>J40*O72/100</f>
        <v>32.54414077954287</v>
      </c>
      <c r="P40" s="86">
        <f t="shared" si="10"/>
        <v>0.4200552261755177</v>
      </c>
      <c r="Q40" s="84">
        <f t="shared" si="10"/>
        <v>0.4733656737807983</v>
      </c>
      <c r="R40" s="85">
        <f t="shared" si="10"/>
        <v>0.324608648488403</v>
      </c>
      <c r="S40" s="86">
        <f t="shared" si="10"/>
        <v>-1</v>
      </c>
      <c r="T40" s="84">
        <f t="shared" si="10"/>
        <v>0.313018081559973</v>
      </c>
      <c r="U40" s="85">
        <f t="shared" si="10"/>
        <v>-0.6665267429790611</v>
      </c>
      <c r="V40" s="408" t="s">
        <v>191</v>
      </c>
    </row>
    <row r="41" spans="1:22" s="219" customFormat="1" ht="126.75" customHeight="1">
      <c r="A41" s="93" t="s">
        <v>134</v>
      </c>
      <c r="B41" s="92" t="s">
        <v>192</v>
      </c>
      <c r="C41" s="218" t="s">
        <v>16</v>
      </c>
      <c r="D41" s="97">
        <f>E41+F41+G41+H41+I41</f>
        <v>1279.4085437306915</v>
      </c>
      <c r="E41" s="95">
        <v>966</v>
      </c>
      <c r="F41" s="96">
        <v>183</v>
      </c>
      <c r="G41" s="98">
        <v>4</v>
      </c>
      <c r="H41" s="99">
        <v>111</v>
      </c>
      <c r="I41" s="96">
        <v>15.408543730691381</v>
      </c>
      <c r="J41" s="97">
        <f>'[4]12 мес'!$E$270+'[4]12 мес'!$F$270</f>
        <v>2218.0590285</v>
      </c>
      <c r="K41" s="95">
        <f>J41*K72/100</f>
        <v>1737.4364798448476</v>
      </c>
      <c r="L41" s="96">
        <f>J41*L72/100</f>
        <v>295.765171331115</v>
      </c>
      <c r="M41" s="98">
        <f>J41*M72/100</f>
        <v>0</v>
      </c>
      <c r="N41" s="99">
        <f>J41*N72/100</f>
        <v>178.5876476123932</v>
      </c>
      <c r="O41" s="96">
        <f>J41*O72/100</f>
        <v>6.269729711644178</v>
      </c>
      <c r="P41" s="86">
        <f t="shared" si="10"/>
        <v>0.7336596971849589</v>
      </c>
      <c r="Q41" s="84">
        <f t="shared" si="10"/>
        <v>0.7985884884522232</v>
      </c>
      <c r="R41" s="85">
        <f t="shared" si="10"/>
        <v>0.6162031220279509</v>
      </c>
      <c r="S41" s="86">
        <f t="shared" si="10"/>
        <v>-1</v>
      </c>
      <c r="T41" s="84">
        <f t="shared" si="10"/>
        <v>0.6088977262377766</v>
      </c>
      <c r="U41" s="85">
        <f t="shared" si="10"/>
        <v>-0.5931004369247518</v>
      </c>
      <c r="V41" s="409"/>
    </row>
    <row r="42" spans="1:22" ht="15.75">
      <c r="A42" s="100">
        <v>4</v>
      </c>
      <c r="B42" s="101" t="s">
        <v>27</v>
      </c>
      <c r="C42" s="94" t="s">
        <v>16</v>
      </c>
      <c r="D42" s="104">
        <f>E42+F42+G42+H42+I42</f>
        <v>6041</v>
      </c>
      <c r="E42" s="102">
        <v>4561</v>
      </c>
      <c r="F42" s="103">
        <v>864</v>
      </c>
      <c r="G42" s="105">
        <v>18</v>
      </c>
      <c r="H42" s="106">
        <v>526</v>
      </c>
      <c r="I42" s="103">
        <v>72</v>
      </c>
      <c r="J42" s="104">
        <f>'[3]исполнение тар.сметы-правда '!$DA$28</f>
        <v>6195.754852148577</v>
      </c>
      <c r="K42" s="102">
        <f>J42*K72/100</f>
        <v>4853.220929642477</v>
      </c>
      <c r="L42" s="103">
        <f>J42*L72/100</f>
        <v>826.1675960042247</v>
      </c>
      <c r="M42" s="105">
        <f>J42*M72/100</f>
        <v>0</v>
      </c>
      <c r="N42" s="106">
        <f>J42*N72/100</f>
        <v>498.85294755954476</v>
      </c>
      <c r="O42" s="103">
        <f>J42*O72/100</f>
        <v>17.513378942331208</v>
      </c>
      <c r="P42" s="83">
        <f t="shared" si="10"/>
        <v>0.025617422967816106</v>
      </c>
      <c r="Q42" s="87">
        <f t="shared" si="10"/>
        <v>0.06406948687622838</v>
      </c>
      <c r="R42" s="88">
        <f t="shared" si="10"/>
        <v>-0.043787504624739904</v>
      </c>
      <c r="S42" s="83">
        <f t="shared" si="10"/>
        <v>-1</v>
      </c>
      <c r="T42" s="87">
        <f t="shared" si="10"/>
        <v>-0.05161036585637879</v>
      </c>
      <c r="U42" s="88">
        <f t="shared" si="10"/>
        <v>-0.7567586258009554</v>
      </c>
      <c r="V42" s="197"/>
    </row>
    <row r="43" spans="1:22" ht="18.75">
      <c r="A43" s="349">
        <v>5</v>
      </c>
      <c r="B43" s="75" t="s">
        <v>193</v>
      </c>
      <c r="C43" s="76" t="s">
        <v>16</v>
      </c>
      <c r="D43" s="90">
        <f>SUM(E43:I43)+1</f>
        <v>8544.5</v>
      </c>
      <c r="E43" s="78">
        <f>E45+E46</f>
        <v>6451.5</v>
      </c>
      <c r="F43" s="79">
        <f>F45+F46</f>
        <v>1227</v>
      </c>
      <c r="G43" s="80">
        <f>G45+G46</f>
        <v>26</v>
      </c>
      <c r="H43" s="81">
        <f>H45+H46</f>
        <v>741</v>
      </c>
      <c r="I43" s="79">
        <f>I45+I46</f>
        <v>98</v>
      </c>
      <c r="J43" s="90">
        <f>SUM(K43:O43)</f>
        <v>9839.708657129999</v>
      </c>
      <c r="K43" s="78">
        <f>K45+K46</f>
        <v>7707.580615428522</v>
      </c>
      <c r="L43" s="79">
        <f>L45+L46</f>
        <v>1312.0674785613849</v>
      </c>
      <c r="M43" s="80">
        <f>M45+M46</f>
        <v>0</v>
      </c>
      <c r="N43" s="81">
        <f>N45+N46</f>
        <v>792.2469148427115</v>
      </c>
      <c r="O43" s="79">
        <f>O45+O46</f>
        <v>27.81364829738137</v>
      </c>
      <c r="P43" s="83">
        <f t="shared" si="10"/>
        <v>0.1515839027596697</v>
      </c>
      <c r="Q43" s="87">
        <f t="shared" si="10"/>
        <v>0.19469590256971592</v>
      </c>
      <c r="R43" s="88">
        <f t="shared" si="10"/>
        <v>0.06932964837928668</v>
      </c>
      <c r="S43" s="83">
        <f t="shared" si="10"/>
        <v>-1</v>
      </c>
      <c r="T43" s="87">
        <f t="shared" si="10"/>
        <v>0.06915912934239055</v>
      </c>
      <c r="U43" s="88">
        <f t="shared" si="10"/>
        <v>-0.7161872622716187</v>
      </c>
      <c r="V43" s="227"/>
    </row>
    <row r="44" spans="1:22" ht="14.25" customHeight="1">
      <c r="A44" s="349"/>
      <c r="B44" s="62" t="s">
        <v>172</v>
      </c>
      <c r="C44" s="63" t="s">
        <v>16</v>
      </c>
      <c r="D44" s="89"/>
      <c r="E44" s="65"/>
      <c r="F44" s="66"/>
      <c r="G44" s="68"/>
      <c r="H44" s="69"/>
      <c r="I44" s="66"/>
      <c r="J44" s="89"/>
      <c r="K44" s="65"/>
      <c r="L44" s="66"/>
      <c r="M44" s="68"/>
      <c r="N44" s="69"/>
      <c r="O44" s="66"/>
      <c r="P44" s="83"/>
      <c r="Q44" s="84"/>
      <c r="R44" s="85"/>
      <c r="S44" s="86"/>
      <c r="T44" s="84"/>
      <c r="U44" s="85"/>
      <c r="V44" s="227"/>
    </row>
    <row r="45" spans="1:22" ht="30">
      <c r="A45" s="19" t="s">
        <v>28</v>
      </c>
      <c r="B45" s="9" t="s">
        <v>194</v>
      </c>
      <c r="C45" s="107" t="s">
        <v>16</v>
      </c>
      <c r="D45" s="110">
        <f>E45+F45+G45+H45+I45+1</f>
        <v>8232.5</v>
      </c>
      <c r="E45" s="108">
        <v>6215.5</v>
      </c>
      <c r="F45" s="109">
        <v>1182</v>
      </c>
      <c r="G45" s="98">
        <v>25</v>
      </c>
      <c r="H45" s="111">
        <v>715</v>
      </c>
      <c r="I45" s="109">
        <v>94</v>
      </c>
      <c r="J45" s="110">
        <f>'[3]исполнение тар.сметы-правда '!$DA$31</f>
        <v>9308.821178189999</v>
      </c>
      <c r="K45" s="108">
        <f>J45*$K$72/100</f>
        <v>7291.729071014487</v>
      </c>
      <c r="L45" s="109">
        <f>J45*$L$72/100</f>
        <v>1241.2767447942954</v>
      </c>
      <c r="M45" s="98">
        <f>J45*$M$72/100</f>
        <v>0</v>
      </c>
      <c r="N45" s="111">
        <f>J45*$N$72/100</f>
        <v>749.5023598996064</v>
      </c>
      <c r="O45" s="109">
        <f>J45*$O$72/100</f>
        <v>26.3130024816111</v>
      </c>
      <c r="P45" s="86">
        <f aca="true" t="shared" si="11" ref="P45:U47">J45/D45-1</f>
        <v>0.1307405014503491</v>
      </c>
      <c r="Q45" s="84">
        <f t="shared" si="11"/>
        <v>0.17315245290233894</v>
      </c>
      <c r="R45" s="85">
        <f t="shared" si="11"/>
        <v>0.050149530282821875</v>
      </c>
      <c r="S45" s="86">
        <f t="shared" si="11"/>
        <v>-1</v>
      </c>
      <c r="T45" s="84">
        <f t="shared" si="11"/>
        <v>0.04825504881063836</v>
      </c>
      <c r="U45" s="85">
        <f t="shared" si="11"/>
        <v>-0.7200744416849882</v>
      </c>
      <c r="V45" s="197" t="s">
        <v>195</v>
      </c>
    </row>
    <row r="46" spans="1:22" ht="18.75" outlineLevel="1">
      <c r="A46" s="61" t="s">
        <v>66</v>
      </c>
      <c r="B46" s="62" t="s">
        <v>196</v>
      </c>
      <c r="C46" s="63" t="s">
        <v>16</v>
      </c>
      <c r="D46" s="89">
        <f>E46+F46+G46+H46+I46</f>
        <v>312</v>
      </c>
      <c r="E46" s="65">
        <v>236</v>
      </c>
      <c r="F46" s="66">
        <v>45</v>
      </c>
      <c r="G46" s="68">
        <v>1</v>
      </c>
      <c r="H46" s="69">
        <v>26</v>
      </c>
      <c r="I46" s="67">
        <v>4</v>
      </c>
      <c r="J46" s="89">
        <f>'[3]исполнение тар.сметы-правда '!$DA$32</f>
        <v>530.8874789399999</v>
      </c>
      <c r="K46" s="65">
        <f>J46*K72/100</f>
        <v>415.85154441403506</v>
      </c>
      <c r="L46" s="66">
        <f>J46*L72/100</f>
        <v>70.79073376708956</v>
      </c>
      <c r="M46" s="68">
        <f>J46*M72/100</f>
        <v>0</v>
      </c>
      <c r="N46" s="69">
        <f>J46*N72/100</f>
        <v>42.74455494310508</v>
      </c>
      <c r="O46" s="67">
        <f>J46*O72/100</f>
        <v>1.5006458157702682</v>
      </c>
      <c r="P46" s="86">
        <f t="shared" si="11"/>
        <v>0.7015624324999998</v>
      </c>
      <c r="Q46" s="84">
        <f t="shared" si="11"/>
        <v>0.7620828153137078</v>
      </c>
      <c r="R46" s="85">
        <f t="shared" si="11"/>
        <v>0.5731274170464347</v>
      </c>
      <c r="S46" s="86">
        <f t="shared" si="11"/>
        <v>-1</v>
      </c>
      <c r="T46" s="84">
        <f t="shared" si="11"/>
        <v>0.64402134396558</v>
      </c>
      <c r="U46" s="85">
        <f t="shared" si="11"/>
        <v>-0.6248385460574329</v>
      </c>
      <c r="V46" s="227"/>
    </row>
    <row r="47" spans="1:22" ht="24" customHeight="1">
      <c r="A47" s="349">
        <v>6</v>
      </c>
      <c r="B47" s="112" t="s">
        <v>197</v>
      </c>
      <c r="C47" s="113" t="s">
        <v>16</v>
      </c>
      <c r="D47" s="104">
        <f>SUM(E47:I47)</f>
        <v>24022.0340685326</v>
      </c>
      <c r="E47" s="102">
        <f>E49+E51+E52+E53+E54+E55+E60+E61+E62+E63+E64+E65+E50</f>
        <v>18134.858139391585</v>
      </c>
      <c r="F47" s="106">
        <f>F49+F51+F52+F53+F54+F55+F60+F61+F62+F63+F64+F65+F50</f>
        <v>3428.5</v>
      </c>
      <c r="G47" s="102">
        <f>G49+G51+G52+G53+G54+G55+G60+G61+G62+G63+G64+G65+G50</f>
        <v>70.4</v>
      </c>
      <c r="H47" s="114">
        <f>H49+H51+H52+H53+H54+H55+H60+H61+H62+H63+H64+H65+H50</f>
        <v>2093.5</v>
      </c>
      <c r="I47" s="82">
        <f>I49+I51+I52+I53+I54+I55+I60+I61+I62+I63+I64+I65+I50</f>
        <v>294.77592914101535</v>
      </c>
      <c r="J47" s="104">
        <f aca="true" t="shared" si="12" ref="J47:O47">J49+J51+J52+J53+J54+J55+J60+J61+J62+J63+J64+J65+J50</f>
        <v>28047.808410478603</v>
      </c>
      <c r="K47" s="102">
        <f t="shared" si="12"/>
        <v>21970.23834168201</v>
      </c>
      <c r="L47" s="106">
        <f t="shared" si="12"/>
        <v>3740.0108623788556</v>
      </c>
      <c r="M47" s="102">
        <f t="shared" si="12"/>
        <v>0</v>
      </c>
      <c r="N47" s="114">
        <f t="shared" si="12"/>
        <v>2258.277196571223</v>
      </c>
      <c r="O47" s="82">
        <f t="shared" si="12"/>
        <v>79.28200984651168</v>
      </c>
      <c r="P47" s="83">
        <f t="shared" si="11"/>
        <v>0.16758673851102057</v>
      </c>
      <c r="Q47" s="87">
        <f t="shared" si="11"/>
        <v>0.2114921535536809</v>
      </c>
      <c r="R47" s="88">
        <f t="shared" si="11"/>
        <v>0.0908592277610778</v>
      </c>
      <c r="S47" s="83">
        <f t="shared" si="11"/>
        <v>-1</v>
      </c>
      <c r="T47" s="87">
        <f t="shared" si="11"/>
        <v>0.07870895465546845</v>
      </c>
      <c r="U47" s="88">
        <f t="shared" si="11"/>
        <v>-0.7310431347717519</v>
      </c>
      <c r="V47" s="227"/>
    </row>
    <row r="48" spans="1:22" ht="18.75">
      <c r="A48" s="349"/>
      <c r="B48" s="62" t="s">
        <v>172</v>
      </c>
      <c r="C48" s="63" t="s">
        <v>16</v>
      </c>
      <c r="D48" s="89"/>
      <c r="E48" s="65"/>
      <c r="F48" s="66"/>
      <c r="G48" s="68"/>
      <c r="H48" s="69"/>
      <c r="I48" s="67"/>
      <c r="J48" s="89"/>
      <c r="K48" s="65"/>
      <c r="L48" s="66"/>
      <c r="M48" s="68"/>
      <c r="N48" s="69"/>
      <c r="O48" s="67"/>
      <c r="P48" s="83"/>
      <c r="Q48" s="84"/>
      <c r="R48" s="85"/>
      <c r="S48" s="86"/>
      <c r="T48" s="84"/>
      <c r="U48" s="85"/>
      <c r="V48" s="227"/>
    </row>
    <row r="49" spans="1:22" ht="57" customHeight="1">
      <c r="A49" s="61" t="s">
        <v>31</v>
      </c>
      <c r="B49" s="62" t="s">
        <v>198</v>
      </c>
      <c r="C49" s="63" t="s">
        <v>16</v>
      </c>
      <c r="D49" s="89">
        <f aca="true" t="shared" si="13" ref="D49:D54">E49+F49+G49+H49+I49</f>
        <v>66.02542372881355</v>
      </c>
      <c r="E49" s="65">
        <v>49.77966101694915</v>
      </c>
      <c r="F49" s="66">
        <v>10</v>
      </c>
      <c r="G49" s="68">
        <v>0</v>
      </c>
      <c r="H49" s="69">
        <v>5.5</v>
      </c>
      <c r="I49" s="67">
        <v>0.7457627118644068</v>
      </c>
      <c r="J49" s="89">
        <f>'[3]исполнение тар.сметы-правда '!$DA$35</f>
        <v>171.33820704</v>
      </c>
      <c r="K49" s="65">
        <f aca="true" t="shared" si="14" ref="K49:K65">J49*$K$72/100</f>
        <v>134.2116000870467</v>
      </c>
      <c r="L49" s="66">
        <f aca="true" t="shared" si="15" ref="L49:L65">J49*$L$72/100</f>
        <v>22.846945689728585</v>
      </c>
      <c r="M49" s="68">
        <f aca="true" t="shared" si="16" ref="M49:M65">J49*$M$72/100</f>
        <v>0</v>
      </c>
      <c r="N49" s="69">
        <f aca="true" t="shared" si="17" ref="N49:N65">J49*$N$72/100</f>
        <v>13.795344013947094</v>
      </c>
      <c r="O49" s="67">
        <f aca="true" t="shared" si="18" ref="O49:O65">J49*$O$72/100</f>
        <v>0.4843172492776288</v>
      </c>
      <c r="P49" s="86">
        <f aca="true" t="shared" si="19" ref="P49:U51">J49/D49-1</f>
        <v>1.5950338121832885</v>
      </c>
      <c r="Q49" s="84">
        <f t="shared" si="19"/>
        <v>1.6961131784595693</v>
      </c>
      <c r="R49" s="85">
        <f t="shared" si="19"/>
        <v>1.2846945689728586</v>
      </c>
      <c r="S49" s="86" t="e">
        <f t="shared" si="19"/>
        <v>#DIV/0!</v>
      </c>
      <c r="T49" s="84">
        <f t="shared" si="19"/>
        <v>1.5082443661721991</v>
      </c>
      <c r="U49" s="85">
        <f t="shared" si="19"/>
        <v>-0.35057459755954323</v>
      </c>
      <c r="V49" s="235" t="s">
        <v>199</v>
      </c>
    </row>
    <row r="50" spans="1:22" ht="48" customHeight="1">
      <c r="A50" s="61" t="s">
        <v>32</v>
      </c>
      <c r="B50" s="62" t="s">
        <v>200</v>
      </c>
      <c r="C50" s="63" t="s">
        <v>16</v>
      </c>
      <c r="D50" s="89">
        <f t="shared" si="13"/>
        <v>1761.5385681293303</v>
      </c>
      <c r="E50" s="65">
        <v>1329.6385681293302</v>
      </c>
      <c r="F50" s="66">
        <v>252</v>
      </c>
      <c r="G50" s="68">
        <v>4.9</v>
      </c>
      <c r="H50" s="69">
        <v>145</v>
      </c>
      <c r="I50" s="67">
        <v>30</v>
      </c>
      <c r="J50" s="89">
        <f>'[3]исполнение тар.сметы-правда '!$DA$36</f>
        <v>2413.1090225432627</v>
      </c>
      <c r="K50" s="65">
        <f t="shared" si="14"/>
        <v>1890.2218524115387</v>
      </c>
      <c r="L50" s="66">
        <f t="shared" si="15"/>
        <v>321.7739448421391</v>
      </c>
      <c r="M50" s="68">
        <f t="shared" si="16"/>
        <v>0</v>
      </c>
      <c r="N50" s="69">
        <f t="shared" si="17"/>
        <v>194.29215283764606</v>
      </c>
      <c r="O50" s="67">
        <f t="shared" si="18"/>
        <v>6.8210724519390915</v>
      </c>
      <c r="P50" s="86">
        <f t="shared" si="19"/>
        <v>0.3698871351456523</v>
      </c>
      <c r="Q50" s="84">
        <f t="shared" si="19"/>
        <v>0.42160576394146987</v>
      </c>
      <c r="R50" s="85">
        <f t="shared" si="19"/>
        <v>0.27688073350055187</v>
      </c>
      <c r="S50" s="86">
        <f t="shared" si="19"/>
        <v>-1</v>
      </c>
      <c r="T50" s="84">
        <f t="shared" si="19"/>
        <v>0.33994588163893824</v>
      </c>
      <c r="U50" s="85">
        <f t="shared" si="19"/>
        <v>-0.772630918268697</v>
      </c>
      <c r="V50" s="228" t="s">
        <v>201</v>
      </c>
    </row>
    <row r="51" spans="1:23" ht="18.75">
      <c r="A51" s="61" t="s">
        <v>34</v>
      </c>
      <c r="B51" s="62" t="s">
        <v>202</v>
      </c>
      <c r="C51" s="63" t="s">
        <v>16</v>
      </c>
      <c r="D51" s="89">
        <f t="shared" si="13"/>
        <v>1280.5</v>
      </c>
      <c r="E51" s="65">
        <v>968</v>
      </c>
      <c r="F51" s="66">
        <v>183</v>
      </c>
      <c r="G51" s="68">
        <v>3.5</v>
      </c>
      <c r="H51" s="69">
        <v>111</v>
      </c>
      <c r="I51" s="67">
        <v>15</v>
      </c>
      <c r="J51" s="89">
        <f>'[3]исполнение тар.сметы-правда '!$DA$37</f>
        <v>1872.6407930945002</v>
      </c>
      <c r="K51" s="65">
        <f t="shared" si="14"/>
        <v>1466.8655729005873</v>
      </c>
      <c r="L51" s="66">
        <f t="shared" si="15"/>
        <v>249.7056741478104</v>
      </c>
      <c r="M51" s="68">
        <f t="shared" si="16"/>
        <v>0</v>
      </c>
      <c r="N51" s="69">
        <f t="shared" si="17"/>
        <v>150.77620106797494</v>
      </c>
      <c r="O51" s="67">
        <f t="shared" si="18"/>
        <v>5.293344978127802</v>
      </c>
      <c r="P51" s="86">
        <f t="shared" si="19"/>
        <v>0.462429358137056</v>
      </c>
      <c r="Q51" s="84">
        <f t="shared" si="19"/>
        <v>0.5153569967981273</v>
      </c>
      <c r="R51" s="85">
        <f t="shared" si="19"/>
        <v>0.36451188058912787</v>
      </c>
      <c r="S51" s="86">
        <f t="shared" si="19"/>
        <v>-1</v>
      </c>
      <c r="T51" s="84">
        <f t="shared" si="19"/>
        <v>0.3583441537655401</v>
      </c>
      <c r="U51" s="85">
        <f t="shared" si="19"/>
        <v>-0.6471103347914798</v>
      </c>
      <c r="V51" s="227"/>
      <c r="W51" s="115"/>
    </row>
    <row r="52" spans="1:22" ht="35.25" customHeight="1" hidden="1">
      <c r="A52" s="61"/>
      <c r="B52" s="62"/>
      <c r="C52" s="63"/>
      <c r="D52" s="89"/>
      <c r="E52" s="65"/>
      <c r="F52" s="66"/>
      <c r="G52" s="68"/>
      <c r="H52" s="69"/>
      <c r="I52" s="67"/>
      <c r="J52" s="89"/>
      <c r="K52" s="65">
        <f t="shared" si="14"/>
        <v>0</v>
      </c>
      <c r="L52" s="66">
        <f t="shared" si="15"/>
        <v>0</v>
      </c>
      <c r="M52" s="68">
        <f t="shared" si="16"/>
        <v>0</v>
      </c>
      <c r="N52" s="69">
        <f t="shared" si="17"/>
        <v>0</v>
      </c>
      <c r="O52" s="67">
        <f t="shared" si="18"/>
        <v>0</v>
      </c>
      <c r="P52" s="86"/>
      <c r="Q52" s="84"/>
      <c r="R52" s="85"/>
      <c r="S52" s="86"/>
      <c r="T52" s="84"/>
      <c r="U52" s="85"/>
      <c r="V52" s="227"/>
    </row>
    <row r="53" spans="1:22" ht="18.75">
      <c r="A53" s="116" t="s">
        <v>36</v>
      </c>
      <c r="B53" s="62" t="s">
        <v>203</v>
      </c>
      <c r="C53" s="63" t="s">
        <v>16</v>
      </c>
      <c r="D53" s="89">
        <f t="shared" si="13"/>
        <v>6261.1909479569185</v>
      </c>
      <c r="E53" s="65">
        <v>4727.53629861054</v>
      </c>
      <c r="F53" s="66">
        <v>894.5</v>
      </c>
      <c r="G53" s="68">
        <v>19</v>
      </c>
      <c r="H53" s="69">
        <v>545</v>
      </c>
      <c r="I53" s="67">
        <v>75.15464934637836</v>
      </c>
      <c r="J53" s="89">
        <f>'[3]исполнение тар.сметы-правда '!$DA$38</f>
        <v>7030.6511595988195</v>
      </c>
      <c r="K53" s="65">
        <f t="shared" si="14"/>
        <v>5507.206816768659</v>
      </c>
      <c r="L53" s="66">
        <f t="shared" si="15"/>
        <v>937.4961252470778</v>
      </c>
      <c r="M53" s="68">
        <f t="shared" si="16"/>
        <v>0</v>
      </c>
      <c r="N53" s="69">
        <f t="shared" si="17"/>
        <v>566.0748589838972</v>
      </c>
      <c r="O53" s="67">
        <f t="shared" si="18"/>
        <v>19.873358599185863</v>
      </c>
      <c r="P53" s="86">
        <f aca="true" t="shared" si="20" ref="P53:U55">J53/D53-1</f>
        <v>0.1228935865457006</v>
      </c>
      <c r="Q53" s="84">
        <f t="shared" si="20"/>
        <v>0.16492110666337356</v>
      </c>
      <c r="R53" s="85">
        <f t="shared" si="20"/>
        <v>0.04806721659818636</v>
      </c>
      <c r="S53" s="86">
        <f t="shared" si="20"/>
        <v>-1</v>
      </c>
      <c r="T53" s="84">
        <f t="shared" si="20"/>
        <v>0.03866946602549959</v>
      </c>
      <c r="U53" s="85">
        <f t="shared" si="20"/>
        <v>-0.7355671435895863</v>
      </c>
      <c r="V53" s="227"/>
    </row>
    <row r="54" spans="1:22" ht="18.75">
      <c r="A54" s="61" t="s">
        <v>37</v>
      </c>
      <c r="B54" s="62" t="s">
        <v>204</v>
      </c>
      <c r="C54" s="63" t="s">
        <v>16</v>
      </c>
      <c r="D54" s="89">
        <f t="shared" si="13"/>
        <v>4126.596958174905</v>
      </c>
      <c r="E54" s="65">
        <v>3115.417617237009</v>
      </c>
      <c r="F54" s="66">
        <v>589.5</v>
      </c>
      <c r="G54" s="68">
        <v>12</v>
      </c>
      <c r="H54" s="69">
        <v>360</v>
      </c>
      <c r="I54" s="67">
        <v>49.67934093789607</v>
      </c>
      <c r="J54" s="89">
        <f>'[3]исполнение тар.сметы-правда '!$DA$39</f>
        <v>4907.199527692021</v>
      </c>
      <c r="K54" s="65">
        <f t="shared" si="14"/>
        <v>3843.8776262213996</v>
      </c>
      <c r="L54" s="66">
        <f t="shared" si="15"/>
        <v>654.3462957544988</v>
      </c>
      <c r="M54" s="68">
        <f t="shared" si="16"/>
        <v>0</v>
      </c>
      <c r="N54" s="69">
        <f t="shared" si="17"/>
        <v>395.1045525636086</v>
      </c>
      <c r="O54" s="67">
        <f t="shared" si="18"/>
        <v>13.871053152513946</v>
      </c>
      <c r="P54" s="86">
        <f t="shared" si="20"/>
        <v>0.18916375343386038</v>
      </c>
      <c r="Q54" s="84">
        <f t="shared" si="20"/>
        <v>0.23382419260710385</v>
      </c>
      <c r="R54" s="85">
        <f t="shared" si="20"/>
        <v>0.11000219805682576</v>
      </c>
      <c r="S54" s="86">
        <f t="shared" si="20"/>
        <v>-1</v>
      </c>
      <c r="T54" s="84">
        <f t="shared" si="20"/>
        <v>0.09751264601002396</v>
      </c>
      <c r="U54" s="85">
        <f t="shared" si="20"/>
        <v>-0.7207883017237671</v>
      </c>
      <c r="V54" s="227"/>
    </row>
    <row r="55" spans="1:22" ht="18.75" customHeight="1">
      <c r="A55" s="348" t="s">
        <v>38</v>
      </c>
      <c r="B55" s="62" t="s">
        <v>205</v>
      </c>
      <c r="C55" s="63" t="s">
        <v>16</v>
      </c>
      <c r="D55" s="89">
        <f>SUM(E55:I55)</f>
        <v>735</v>
      </c>
      <c r="E55" s="65">
        <v>556</v>
      </c>
      <c r="F55" s="66">
        <v>105</v>
      </c>
      <c r="G55" s="68">
        <f>G57+G58+G59</f>
        <v>2</v>
      </c>
      <c r="H55" s="69">
        <v>63</v>
      </c>
      <c r="I55" s="67">
        <f>I57+I58+I59</f>
        <v>9</v>
      </c>
      <c r="J55" s="89">
        <f>J57+J58+J59</f>
        <v>754.29300975</v>
      </c>
      <c r="K55" s="65">
        <f t="shared" si="14"/>
        <v>590.8482032229267</v>
      </c>
      <c r="L55" s="66">
        <f t="shared" si="15"/>
        <v>100.58055191319323</v>
      </c>
      <c r="M55" s="68">
        <f t="shared" si="16"/>
        <v>0</v>
      </c>
      <c r="N55" s="69">
        <f t="shared" si="17"/>
        <v>60.732114200235074</v>
      </c>
      <c r="O55" s="67">
        <f t="shared" si="18"/>
        <v>2.1321404136450317</v>
      </c>
      <c r="P55" s="86">
        <f t="shared" si="20"/>
        <v>0.026248992857142772</v>
      </c>
      <c r="Q55" s="84">
        <f t="shared" si="20"/>
        <v>0.06267662450166678</v>
      </c>
      <c r="R55" s="85">
        <f t="shared" si="20"/>
        <v>-0.04208998177911205</v>
      </c>
      <c r="S55" s="86">
        <f t="shared" si="20"/>
        <v>-1</v>
      </c>
      <c r="T55" s="84">
        <f t="shared" si="20"/>
        <v>-0.03599818729785598</v>
      </c>
      <c r="U55" s="85">
        <f t="shared" si="20"/>
        <v>-0.7630955095949965</v>
      </c>
      <c r="V55" s="219"/>
    </row>
    <row r="56" spans="1:22" ht="19.5" customHeight="1">
      <c r="A56" s="348"/>
      <c r="B56" s="62" t="s">
        <v>172</v>
      </c>
      <c r="C56" s="63" t="s">
        <v>16</v>
      </c>
      <c r="D56" s="89"/>
      <c r="E56" s="65"/>
      <c r="F56" s="66"/>
      <c r="G56" s="68"/>
      <c r="H56" s="69"/>
      <c r="I56" s="67"/>
      <c r="J56" s="89"/>
      <c r="K56" s="65">
        <f t="shared" si="14"/>
        <v>0</v>
      </c>
      <c r="L56" s="66">
        <f t="shared" si="15"/>
        <v>0</v>
      </c>
      <c r="M56" s="68">
        <f t="shared" si="16"/>
        <v>0</v>
      </c>
      <c r="N56" s="69">
        <f t="shared" si="17"/>
        <v>0</v>
      </c>
      <c r="O56" s="67">
        <f t="shared" si="18"/>
        <v>0</v>
      </c>
      <c r="P56" s="86"/>
      <c r="Q56" s="84"/>
      <c r="R56" s="85"/>
      <c r="S56" s="86"/>
      <c r="T56" s="84"/>
      <c r="U56" s="85"/>
      <c r="V56" s="227"/>
    </row>
    <row r="57" spans="1:22" ht="47.25">
      <c r="A57" s="348"/>
      <c r="B57" s="62" t="s">
        <v>206</v>
      </c>
      <c r="C57" s="63" t="s">
        <v>16</v>
      </c>
      <c r="D57" s="89">
        <f aca="true" t="shared" si="21" ref="D57:D65">E57+F57+G57+H57+I57</f>
        <v>4</v>
      </c>
      <c r="E57" s="65">
        <v>4</v>
      </c>
      <c r="F57" s="66">
        <v>0</v>
      </c>
      <c r="G57" s="68">
        <v>0</v>
      </c>
      <c r="H57" s="69">
        <v>0</v>
      </c>
      <c r="I57" s="67">
        <v>0</v>
      </c>
      <c r="J57" s="89">
        <f>'[3]исполнение тар.сметы-правда '!$DA$42</f>
        <v>10.440389699999999</v>
      </c>
      <c r="K57" s="65">
        <f t="shared" si="14"/>
        <v>8.178102428970774</v>
      </c>
      <c r="L57" s="66">
        <f t="shared" si="15"/>
        <v>1.3921647750160895</v>
      </c>
      <c r="M57" s="68">
        <f t="shared" si="16"/>
        <v>0</v>
      </c>
      <c r="N57" s="69">
        <f t="shared" si="17"/>
        <v>0.8406109182498068</v>
      </c>
      <c r="O57" s="67">
        <f t="shared" si="18"/>
        <v>0.02951157776332996</v>
      </c>
      <c r="P57" s="86">
        <f aca="true" t="shared" si="22" ref="P57:U66">J57/D57-1</f>
        <v>1.6100974249999997</v>
      </c>
      <c r="Q57" s="84">
        <f t="shared" si="22"/>
        <v>1.0445256072426936</v>
      </c>
      <c r="R57" s="85"/>
      <c r="S57" s="86"/>
      <c r="T57" s="84"/>
      <c r="U57" s="85"/>
      <c r="V57" s="196" t="s">
        <v>207</v>
      </c>
    </row>
    <row r="58" spans="1:22" ht="31.5">
      <c r="A58" s="348"/>
      <c r="B58" s="62" t="s">
        <v>208</v>
      </c>
      <c r="C58" s="63" t="s">
        <v>16</v>
      </c>
      <c r="D58" s="89">
        <f t="shared" si="21"/>
        <v>109</v>
      </c>
      <c r="E58" s="65">
        <v>82</v>
      </c>
      <c r="F58" s="66">
        <v>16</v>
      </c>
      <c r="G58" s="68">
        <v>0</v>
      </c>
      <c r="H58" s="69">
        <v>9</v>
      </c>
      <c r="I58" s="67">
        <v>2</v>
      </c>
      <c r="J58" s="89">
        <f>'[3]исполнение тар.сметы-правда '!$DA$43</f>
        <v>152.85262005</v>
      </c>
      <c r="K58" s="65">
        <f t="shared" si="14"/>
        <v>119.73158274977533</v>
      </c>
      <c r="L58" s="66">
        <f t="shared" si="15"/>
        <v>20.38200100926578</v>
      </c>
      <c r="M58" s="68">
        <f t="shared" si="16"/>
        <v>0</v>
      </c>
      <c r="N58" s="69">
        <f t="shared" si="17"/>
        <v>12.306971769178247</v>
      </c>
      <c r="O58" s="67">
        <f t="shared" si="18"/>
        <v>0.4320645217806672</v>
      </c>
      <c r="P58" s="86">
        <f t="shared" si="22"/>
        <v>0.4023176151376149</v>
      </c>
      <c r="Q58" s="84">
        <f t="shared" si="22"/>
        <v>0.4601412530460405</v>
      </c>
      <c r="R58" s="85">
        <f t="shared" si="22"/>
        <v>0.27387506307911136</v>
      </c>
      <c r="S58" s="86"/>
      <c r="T58" s="84">
        <f aca="true" t="shared" si="23" ref="T58:U61">N58/H58-1</f>
        <v>0.367441307686472</v>
      </c>
      <c r="U58" s="85">
        <f t="shared" si="23"/>
        <v>-0.7839677391096664</v>
      </c>
      <c r="V58" s="196" t="s">
        <v>209</v>
      </c>
    </row>
    <row r="59" spans="1:22" ht="15.75">
      <c r="A59" s="348"/>
      <c r="B59" s="62" t="s">
        <v>210</v>
      </c>
      <c r="C59" s="63" t="s">
        <v>16</v>
      </c>
      <c r="D59" s="89">
        <f t="shared" si="21"/>
        <v>622</v>
      </c>
      <c r="E59" s="65">
        <v>470</v>
      </c>
      <c r="F59" s="66">
        <v>89</v>
      </c>
      <c r="G59" s="68">
        <v>2</v>
      </c>
      <c r="H59" s="69">
        <v>54</v>
      </c>
      <c r="I59" s="67">
        <v>7</v>
      </c>
      <c r="J59" s="89">
        <f>'[3]исполнение тар.сметы-правда '!$DA$44</f>
        <v>591</v>
      </c>
      <c r="K59" s="65">
        <f t="shared" si="14"/>
        <v>462.9385180441807</v>
      </c>
      <c r="L59" s="66">
        <f t="shared" si="15"/>
        <v>78.80638612891136</v>
      </c>
      <c r="M59" s="68">
        <f t="shared" si="16"/>
        <v>0</v>
      </c>
      <c r="N59" s="69">
        <f t="shared" si="17"/>
        <v>47.584531512807025</v>
      </c>
      <c r="O59" s="67">
        <f t="shared" si="18"/>
        <v>1.6705643141010347</v>
      </c>
      <c r="P59" s="86">
        <f t="shared" si="22"/>
        <v>-0.04983922829581988</v>
      </c>
      <c r="Q59" s="84">
        <f t="shared" si="22"/>
        <v>-0.015024429693232588</v>
      </c>
      <c r="R59" s="85">
        <f t="shared" si="22"/>
        <v>-0.11453498731560274</v>
      </c>
      <c r="S59" s="86">
        <f>M59/G59-1</f>
        <v>-1</v>
      </c>
      <c r="T59" s="84">
        <f t="shared" si="23"/>
        <v>-0.11880497198505513</v>
      </c>
      <c r="U59" s="85">
        <f t="shared" si="23"/>
        <v>-0.7613479551284237</v>
      </c>
      <c r="V59" s="18" t="s">
        <v>211</v>
      </c>
    </row>
    <row r="60" spans="1:22" ht="18.75">
      <c r="A60" s="61" t="s">
        <v>41</v>
      </c>
      <c r="B60" s="62" t="s">
        <v>212</v>
      </c>
      <c r="C60" s="63" t="s">
        <v>16</v>
      </c>
      <c r="D60" s="89">
        <f t="shared" si="21"/>
        <v>8323.123347013223</v>
      </c>
      <c r="E60" s="65">
        <v>6283.049019607843</v>
      </c>
      <c r="F60" s="66">
        <v>1189.5</v>
      </c>
      <c r="G60" s="68">
        <v>25</v>
      </c>
      <c r="H60" s="69">
        <v>725</v>
      </c>
      <c r="I60" s="66">
        <v>100.57432740538076</v>
      </c>
      <c r="J60" s="89">
        <f>'[3]исполнение тар.сметы-правда '!$DA$45</f>
        <v>8381.055430799997</v>
      </c>
      <c r="K60" s="65">
        <f t="shared" si="14"/>
        <v>6564.997260204201</v>
      </c>
      <c r="L60" s="66">
        <f t="shared" si="15"/>
        <v>1117.5646200464198</v>
      </c>
      <c r="M60" s="68">
        <f t="shared" si="16"/>
        <v>0</v>
      </c>
      <c r="N60" s="69">
        <f t="shared" si="17"/>
        <v>674.8030393527664</v>
      </c>
      <c r="O60" s="66">
        <f t="shared" si="18"/>
        <v>23.690511196611084</v>
      </c>
      <c r="P60" s="73">
        <f t="shared" si="22"/>
        <v>0.006960377897987424</v>
      </c>
      <c r="Q60" s="71">
        <f t="shared" si="22"/>
        <v>0.044874429551077455</v>
      </c>
      <c r="R60" s="72">
        <f t="shared" si="22"/>
        <v>-0.06047530891431707</v>
      </c>
      <c r="S60" s="73">
        <f>M60/G60-1</f>
        <v>-1</v>
      </c>
      <c r="T60" s="71">
        <f t="shared" si="23"/>
        <v>-0.06923718709963256</v>
      </c>
      <c r="U60" s="72">
        <f t="shared" si="23"/>
        <v>-0.7644477292786386</v>
      </c>
      <c r="V60" s="227"/>
    </row>
    <row r="61" spans="1:25" ht="31.5">
      <c r="A61" s="61" t="s">
        <v>43</v>
      </c>
      <c r="B61" s="62" t="s">
        <v>213</v>
      </c>
      <c r="C61" s="63" t="s">
        <v>16</v>
      </c>
      <c r="D61" s="89">
        <f t="shared" si="21"/>
        <v>169</v>
      </c>
      <c r="E61" s="65">
        <v>126.99999999999999</v>
      </c>
      <c r="F61" s="66">
        <v>24</v>
      </c>
      <c r="G61" s="68">
        <v>1</v>
      </c>
      <c r="H61" s="69">
        <v>15</v>
      </c>
      <c r="I61" s="66">
        <v>2</v>
      </c>
      <c r="J61" s="89">
        <f>'[3]исполнение тар.сметы-правда '!$DA$46</f>
        <v>346.39015151999996</v>
      </c>
      <c r="K61" s="65">
        <f t="shared" si="14"/>
        <v>271.33222235155324</v>
      </c>
      <c r="L61" s="66">
        <f t="shared" si="15"/>
        <v>46.18909650073981</v>
      </c>
      <c r="M61" s="68">
        <f t="shared" si="16"/>
        <v>0</v>
      </c>
      <c r="N61" s="69">
        <f t="shared" si="17"/>
        <v>27.889700644212244</v>
      </c>
      <c r="O61" s="66">
        <f t="shared" si="18"/>
        <v>0.9791320234946906</v>
      </c>
      <c r="P61" s="86">
        <f t="shared" si="22"/>
        <v>1.0496458669822482</v>
      </c>
      <c r="Q61" s="84">
        <f t="shared" si="22"/>
        <v>1.1364741917445138</v>
      </c>
      <c r="R61" s="85">
        <f t="shared" si="22"/>
        <v>0.9245456875308253</v>
      </c>
      <c r="S61" s="86"/>
      <c r="T61" s="84">
        <f t="shared" si="23"/>
        <v>0.8593133762808163</v>
      </c>
      <c r="U61" s="85">
        <f t="shared" si="23"/>
        <v>-0.5104339882526547</v>
      </c>
      <c r="V61" s="228" t="s">
        <v>214</v>
      </c>
      <c r="Y61" s="1" t="s">
        <v>69</v>
      </c>
    </row>
    <row r="62" spans="1:22" ht="110.25">
      <c r="A62" s="93" t="s">
        <v>65</v>
      </c>
      <c r="B62" s="92" t="s">
        <v>215</v>
      </c>
      <c r="C62" s="94" t="s">
        <v>16</v>
      </c>
      <c r="D62" s="97">
        <f t="shared" si="21"/>
        <v>296</v>
      </c>
      <c r="E62" s="95">
        <v>222</v>
      </c>
      <c r="F62" s="96">
        <v>37</v>
      </c>
      <c r="G62" s="98">
        <v>0</v>
      </c>
      <c r="H62" s="95">
        <v>37</v>
      </c>
      <c r="I62" s="96">
        <v>0</v>
      </c>
      <c r="J62" s="97">
        <f>'[3]исполнение тар.сметы-правда '!$DA$47</f>
        <v>808.23770001</v>
      </c>
      <c r="K62" s="95">
        <f t="shared" si="14"/>
        <v>633.1038292217706</v>
      </c>
      <c r="L62" s="96">
        <f t="shared" si="15"/>
        <v>107.77376018770097</v>
      </c>
      <c r="M62" s="98">
        <f t="shared" si="16"/>
        <v>0</v>
      </c>
      <c r="N62" s="95">
        <f t="shared" si="17"/>
        <v>65.07548613530375</v>
      </c>
      <c r="O62" s="96">
        <f t="shared" si="18"/>
        <v>2.28462446522471</v>
      </c>
      <c r="P62" s="86">
        <f t="shared" si="22"/>
        <v>1.730532770304054</v>
      </c>
      <c r="Q62" s="84">
        <f t="shared" si="22"/>
        <v>1.8518190505485164</v>
      </c>
      <c r="R62" s="85">
        <f t="shared" si="22"/>
        <v>1.9128043293973236</v>
      </c>
      <c r="S62" s="86"/>
      <c r="T62" s="84">
        <f>N62/H62-1</f>
        <v>0.7587969225757769</v>
      </c>
      <c r="U62" s="85"/>
      <c r="V62" s="229" t="s">
        <v>216</v>
      </c>
    </row>
    <row r="63" spans="1:22" ht="47.25">
      <c r="A63" s="61" t="s">
        <v>46</v>
      </c>
      <c r="B63" s="62" t="s">
        <v>217</v>
      </c>
      <c r="C63" s="63" t="s">
        <v>16</v>
      </c>
      <c r="D63" s="89">
        <f t="shared" si="21"/>
        <v>56</v>
      </c>
      <c r="E63" s="65">
        <v>42</v>
      </c>
      <c r="F63" s="66">
        <v>8</v>
      </c>
      <c r="G63" s="68">
        <v>0</v>
      </c>
      <c r="H63" s="65">
        <v>5</v>
      </c>
      <c r="I63" s="66">
        <v>1</v>
      </c>
      <c r="J63" s="89">
        <f>'[3]исполнение тар.сметы-правда '!$DA$48</f>
        <v>343.3557324599999</v>
      </c>
      <c r="K63" s="65">
        <f t="shared" si="14"/>
        <v>268.95531970728683</v>
      </c>
      <c r="L63" s="66">
        <f t="shared" si="15"/>
        <v>45.78447450392205</v>
      </c>
      <c r="M63" s="68">
        <f t="shared" si="16"/>
        <v>0</v>
      </c>
      <c r="N63" s="65">
        <f t="shared" si="17"/>
        <v>27.64538353865618</v>
      </c>
      <c r="O63" s="66">
        <f t="shared" si="18"/>
        <v>0.9705547101348528</v>
      </c>
      <c r="P63" s="86">
        <f t="shared" si="22"/>
        <v>5.131352365357141</v>
      </c>
      <c r="Q63" s="84">
        <f t="shared" si="22"/>
        <v>5.403698088268734</v>
      </c>
      <c r="R63" s="85">
        <f t="shared" si="22"/>
        <v>4.723059312990256</v>
      </c>
      <c r="S63" s="86"/>
      <c r="T63" s="84">
        <f>N63/H63-1</f>
        <v>4.529076707731236</v>
      </c>
      <c r="U63" s="85">
        <f>O63/I63-1</f>
        <v>-0.02944528986514716</v>
      </c>
      <c r="V63" s="228" t="s">
        <v>218</v>
      </c>
    </row>
    <row r="64" spans="1:22" ht="18.75">
      <c r="A64" s="61" t="s">
        <v>61</v>
      </c>
      <c r="B64" s="62" t="s">
        <v>219</v>
      </c>
      <c r="C64" s="63" t="s">
        <v>16</v>
      </c>
      <c r="D64" s="89">
        <f t="shared" si="21"/>
        <v>208.05882352941174</v>
      </c>
      <c r="E64" s="65">
        <v>156.43697478991595</v>
      </c>
      <c r="F64" s="66">
        <v>30</v>
      </c>
      <c r="G64" s="68">
        <v>1</v>
      </c>
      <c r="H64" s="65">
        <v>18</v>
      </c>
      <c r="I64" s="66">
        <v>2.6218487394957983</v>
      </c>
      <c r="J64" s="89">
        <f>'[3]исполнение тар.сметы-правда '!$DA$49</f>
        <v>215.88767597000003</v>
      </c>
      <c r="K64" s="65">
        <f t="shared" si="14"/>
        <v>169.1078185745416</v>
      </c>
      <c r="L64" s="66">
        <f t="shared" si="15"/>
        <v>28.787356265592415</v>
      </c>
      <c r="M64" s="68">
        <f t="shared" si="16"/>
        <v>0</v>
      </c>
      <c r="N64" s="65">
        <f t="shared" si="17"/>
        <v>17.38225705655015</v>
      </c>
      <c r="O64" s="66">
        <f t="shared" si="18"/>
        <v>0.6102440733158875</v>
      </c>
      <c r="P64" s="86">
        <f t="shared" si="22"/>
        <v>0.037628072233531595</v>
      </c>
      <c r="Q64" s="84">
        <f t="shared" si="22"/>
        <v>0.08099647670662069</v>
      </c>
      <c r="R64" s="85">
        <f t="shared" si="22"/>
        <v>-0.04042145781358619</v>
      </c>
      <c r="S64" s="86">
        <f>M64/G64-1</f>
        <v>-1</v>
      </c>
      <c r="T64" s="84">
        <f>N64/H64-1</f>
        <v>-0.03431905241388067</v>
      </c>
      <c r="U64" s="85">
        <f>O64/I64-1</f>
        <v>-0.767246651523748</v>
      </c>
      <c r="V64" s="227"/>
    </row>
    <row r="65" spans="1:22" ht="18.75">
      <c r="A65" s="93" t="s">
        <v>48</v>
      </c>
      <c r="B65" s="92" t="s">
        <v>7</v>
      </c>
      <c r="C65" s="94" t="s">
        <v>16</v>
      </c>
      <c r="D65" s="97">
        <f t="shared" si="21"/>
        <v>739</v>
      </c>
      <c r="E65" s="95">
        <v>558</v>
      </c>
      <c r="F65" s="96">
        <v>106</v>
      </c>
      <c r="G65" s="98">
        <v>2</v>
      </c>
      <c r="H65" s="95">
        <v>64</v>
      </c>
      <c r="I65" s="96">
        <v>9</v>
      </c>
      <c r="J65" s="97">
        <f>'[3]исполнение тар.сметы-правда '!$DA$50</f>
        <v>803.65</v>
      </c>
      <c r="K65" s="95">
        <f t="shared" si="14"/>
        <v>629.5102200105005</v>
      </c>
      <c r="L65" s="96">
        <f t="shared" si="15"/>
        <v>107.16201728003318</v>
      </c>
      <c r="M65" s="98">
        <f t="shared" si="16"/>
        <v>0</v>
      </c>
      <c r="N65" s="95">
        <f t="shared" si="17"/>
        <v>64.70610617642532</v>
      </c>
      <c r="O65" s="96">
        <f t="shared" si="18"/>
        <v>2.2716565330411105</v>
      </c>
      <c r="P65" s="86">
        <f t="shared" si="22"/>
        <v>0.08748308525033832</v>
      </c>
      <c r="Q65" s="84">
        <f t="shared" si="22"/>
        <v>0.12815451614785034</v>
      </c>
      <c r="R65" s="85">
        <f t="shared" si="22"/>
        <v>0.0109624271701243</v>
      </c>
      <c r="S65" s="86">
        <f>M65/G65-1</f>
        <v>-1</v>
      </c>
      <c r="T65" s="84">
        <f>N65/H65-1</f>
        <v>0.011032909006645664</v>
      </c>
      <c r="U65" s="85">
        <f>O65/I65-1</f>
        <v>-0.7475937185509878</v>
      </c>
      <c r="V65" s="227"/>
    </row>
    <row r="66" spans="1:22" ht="15.75">
      <c r="A66" s="117" t="s">
        <v>49</v>
      </c>
      <c r="B66" s="75" t="s">
        <v>220</v>
      </c>
      <c r="C66" s="76" t="s">
        <v>16</v>
      </c>
      <c r="D66" s="77">
        <f aca="true" t="shared" si="24" ref="D66:O66">D23+D31</f>
        <v>8772276.534068532</v>
      </c>
      <c r="E66" s="78">
        <f t="shared" si="24"/>
        <v>6466211.358139392</v>
      </c>
      <c r="F66" s="79">
        <f t="shared" si="24"/>
        <v>1228642.5</v>
      </c>
      <c r="G66" s="77">
        <f t="shared" si="24"/>
        <v>48632.4</v>
      </c>
      <c r="H66" s="78">
        <f t="shared" si="24"/>
        <v>987645.5</v>
      </c>
      <c r="I66" s="82">
        <f t="shared" si="24"/>
        <v>41145.77592914102</v>
      </c>
      <c r="J66" s="77">
        <f t="shared" si="24"/>
        <v>8983961.027750218</v>
      </c>
      <c r="K66" s="78">
        <f t="shared" si="24"/>
        <v>6895425.422227539</v>
      </c>
      <c r="L66" s="79">
        <f t="shared" si="24"/>
        <v>1131361.6727479615</v>
      </c>
      <c r="M66" s="77">
        <f t="shared" si="24"/>
        <v>0</v>
      </c>
      <c r="N66" s="78">
        <f t="shared" si="24"/>
        <v>947512.8736679417</v>
      </c>
      <c r="O66" s="82">
        <f t="shared" si="24"/>
        <v>9661.059106775583</v>
      </c>
      <c r="P66" s="83">
        <f t="shared" si="22"/>
        <v>0.024131078501638203</v>
      </c>
      <c r="Q66" s="87">
        <f t="shared" si="22"/>
        <v>0.06637798245612103</v>
      </c>
      <c r="R66" s="88">
        <f t="shared" si="22"/>
        <v>-0.07917748836788452</v>
      </c>
      <c r="S66" s="83">
        <f t="shared" si="22"/>
        <v>-1</v>
      </c>
      <c r="T66" s="87">
        <f t="shared" si="22"/>
        <v>-0.04063464707940079</v>
      </c>
      <c r="U66" s="88">
        <f t="shared" si="22"/>
        <v>-0.7651992485592367</v>
      </c>
      <c r="V66" s="20"/>
    </row>
    <row r="67" spans="1:22" ht="94.5">
      <c r="A67" s="117" t="s">
        <v>50</v>
      </c>
      <c r="B67" s="75" t="s">
        <v>221</v>
      </c>
      <c r="C67" s="76" t="s">
        <v>16</v>
      </c>
      <c r="D67" s="90"/>
      <c r="E67" s="78"/>
      <c r="F67" s="79"/>
      <c r="G67" s="80"/>
      <c r="H67" s="118"/>
      <c r="I67" s="82"/>
      <c r="J67" s="90">
        <f>J69-J66</f>
        <v>-584716.2071550395</v>
      </c>
      <c r="K67" s="78">
        <f>J67*K72/100</f>
        <v>-458016.3357305721</v>
      </c>
      <c r="L67" s="79">
        <f>J67*L72/100</f>
        <v>-77968.47918255933</v>
      </c>
      <c r="M67" s="80">
        <f>J67*M72/100</f>
        <v>0</v>
      </c>
      <c r="N67" s="118">
        <f>J67*N72/100</f>
        <v>-47078.590161451735</v>
      </c>
      <c r="O67" s="82">
        <f>J67*O72/100</f>
        <v>-1652.8020804563741</v>
      </c>
      <c r="P67" s="83"/>
      <c r="Q67" s="87"/>
      <c r="R67" s="88"/>
      <c r="S67" s="83"/>
      <c r="T67" s="87"/>
      <c r="U67" s="88"/>
      <c r="V67" s="160" t="s">
        <v>222</v>
      </c>
    </row>
    <row r="68" spans="1:22" ht="30.75" customHeight="1">
      <c r="A68" s="117" t="s">
        <v>52</v>
      </c>
      <c r="B68" s="119" t="s">
        <v>223</v>
      </c>
      <c r="C68" s="76" t="s">
        <v>16</v>
      </c>
      <c r="D68" s="120">
        <f>E68+F68+G68+H68+I68</f>
        <v>46461</v>
      </c>
      <c r="E68" s="95">
        <v>35096</v>
      </c>
      <c r="F68" s="96">
        <v>6663</v>
      </c>
      <c r="G68" s="98">
        <v>104</v>
      </c>
      <c r="H68" s="95">
        <v>4020</v>
      </c>
      <c r="I68" s="96">
        <v>578</v>
      </c>
      <c r="J68" s="120">
        <f>'[6]ОС'!$E$23/1000</f>
        <v>53424.48896928</v>
      </c>
      <c r="K68" s="95">
        <v>31395.791791628813</v>
      </c>
      <c r="L68" s="96">
        <v>5344.530200699093</v>
      </c>
      <c r="M68" s="98">
        <v>0</v>
      </c>
      <c r="N68" s="95">
        <v>3227.1111295511455</v>
      </c>
      <c r="O68" s="96">
        <v>113.29515116094925</v>
      </c>
      <c r="P68" s="83">
        <f aca="true" t="shared" si="25" ref="P68:U70">J68/D68-1</f>
        <v>0.14987815521146763</v>
      </c>
      <c r="Q68" s="87">
        <f t="shared" si="25"/>
        <v>-0.10543105221025717</v>
      </c>
      <c r="R68" s="88">
        <f t="shared" si="25"/>
        <v>-0.19787930351206762</v>
      </c>
      <c r="S68" s="83">
        <f t="shared" si="25"/>
        <v>-1</v>
      </c>
      <c r="T68" s="87">
        <f t="shared" si="25"/>
        <v>-0.19723603742508822</v>
      </c>
      <c r="U68" s="88">
        <f t="shared" si="25"/>
        <v>-0.8039876277492227</v>
      </c>
      <c r="V68" s="227"/>
    </row>
    <row r="69" spans="1:22" ht="18.75">
      <c r="A69" s="117" t="s">
        <v>54</v>
      </c>
      <c r="B69" s="75" t="s">
        <v>224</v>
      </c>
      <c r="C69" s="76" t="s">
        <v>16</v>
      </c>
      <c r="D69" s="77">
        <v>8772277</v>
      </c>
      <c r="E69" s="78">
        <f>E66+E67</f>
        <v>6466211.358139392</v>
      </c>
      <c r="F69" s="79">
        <f>F66+F67</f>
        <v>1228642.5</v>
      </c>
      <c r="G69" s="77">
        <f>G66+G67</f>
        <v>48632.4</v>
      </c>
      <c r="H69" s="78">
        <f>H66+H67</f>
        <v>987645.5</v>
      </c>
      <c r="I69" s="82">
        <f>I66+I67</f>
        <v>41145.77592914102</v>
      </c>
      <c r="J69" s="77">
        <f>SUM(K69:O69)</f>
        <v>8399244.820595179</v>
      </c>
      <c r="K69" s="78">
        <f>('[2]г.Павлодар продолж. '!$AA$1572+'[2]г.Павлодар продолж. '!$AA$1692+'[2]г.Павлодар продолж. '!$AA$1857)</f>
        <v>6653882.559011039</v>
      </c>
      <c r="L69" s="79">
        <f>('[2]г.Павлодар продолж. '!$AA$1632+'[2]г.Павлодар продолж. '!$AA$1782+'[2]г.Павлодар продолж. '!$AA$1938)</f>
        <v>794326.9690341399</v>
      </c>
      <c r="M69" s="77">
        <f>'[2]г.Павлодар 2018-1'!$DV$1008</f>
        <v>0</v>
      </c>
      <c r="N69" s="78">
        <f>('[2]г.Павлодар продолж. '!$AA$1509+'[2]г.Павлодар продолж. '!$AA$1515)</f>
        <v>941555.32886</v>
      </c>
      <c r="O69" s="82">
        <f>('[2]г.Павлодар продолж. '!$AA$1512+'[2]г.Павлодар продолж. '!$AA$1518)</f>
        <v>9479.96369</v>
      </c>
      <c r="P69" s="83">
        <f t="shared" si="25"/>
        <v>-0.04252398543785396</v>
      </c>
      <c r="Q69" s="87">
        <f t="shared" si="25"/>
        <v>0.029023363214908615</v>
      </c>
      <c r="R69" s="88">
        <f t="shared" si="25"/>
        <v>-0.3534921923715484</v>
      </c>
      <c r="S69" s="83">
        <f t="shared" si="25"/>
        <v>-1</v>
      </c>
      <c r="T69" s="87">
        <f t="shared" si="25"/>
        <v>-0.04666671507134901</v>
      </c>
      <c r="U69" s="88">
        <f t="shared" si="25"/>
        <v>-0.7696005610314441</v>
      </c>
      <c r="V69" s="227"/>
    </row>
    <row r="70" spans="1:22" ht="18.75">
      <c r="A70" s="117" t="s">
        <v>55</v>
      </c>
      <c r="B70" s="75" t="s">
        <v>225</v>
      </c>
      <c r="C70" s="76" t="s">
        <v>226</v>
      </c>
      <c r="D70" s="123">
        <f>SUM(E70:I70)</f>
        <v>2628.1079999999997</v>
      </c>
      <c r="E70" s="121">
        <f>1985.237</f>
        <v>1985.237</v>
      </c>
      <c r="F70" s="122">
        <f>376.923</f>
        <v>376.923</v>
      </c>
      <c r="G70" s="124">
        <f>5.892</f>
        <v>5.892</v>
      </c>
      <c r="H70" s="125">
        <f>227.367</f>
        <v>227.367</v>
      </c>
      <c r="I70" s="126">
        <f>32.689</f>
        <v>32.689</v>
      </c>
      <c r="J70" s="123">
        <f>K70+L70+M70+N70+O70</f>
        <v>2715.559025</v>
      </c>
      <c r="K70" s="121">
        <f>('[2]г.Павлодар продолж. '!$AA$1570+'[2]г.Павлодар продолж. '!$AA$1690+'[2]г.Павлодар продолж. '!$AA$1855)</f>
        <v>2127.135145</v>
      </c>
      <c r="L70" s="122">
        <f>('[2]г.Павлодар продолж. '!$AA$1630+'[2]г.Павлодар продолж. '!$AA$1780+'[2]г.Павлодар продолж. '!$AA$1936)</f>
        <v>362.10388000000006</v>
      </c>
      <c r="M70" s="124">
        <f>'[2]г.Павлодар 2018-1'!$DV$1006</f>
        <v>0</v>
      </c>
      <c r="N70" s="125">
        <f>('[2]г.Павлодар продолж. '!$AA$1507+'[2]г.Павлодар продолж. '!$AA$1513)</f>
        <v>218.644</v>
      </c>
      <c r="O70" s="126">
        <f>('[2]г.Павлодар продолж. '!$AA$1510+'[2]г.Павлодар продолж. '!$AA$1516)</f>
        <v>7.675999999999999</v>
      </c>
      <c r="P70" s="127">
        <f t="shared" si="25"/>
        <v>0.033275278261015284</v>
      </c>
      <c r="Q70" s="128">
        <f t="shared" si="25"/>
        <v>0.07147667759567256</v>
      </c>
      <c r="R70" s="129">
        <f t="shared" si="25"/>
        <v>-0.03931604067674288</v>
      </c>
      <c r="S70" s="127">
        <f t="shared" si="25"/>
        <v>-1</v>
      </c>
      <c r="T70" s="128">
        <f t="shared" si="25"/>
        <v>-0.038365286079334204</v>
      </c>
      <c r="U70" s="129">
        <f t="shared" si="25"/>
        <v>-0.7651809477194164</v>
      </c>
      <c r="V70" s="227"/>
    </row>
    <row r="71" spans="1:22" ht="32.25" thickBot="1">
      <c r="A71" s="117" t="s">
        <v>63</v>
      </c>
      <c r="B71" s="75" t="s">
        <v>227</v>
      </c>
      <c r="C71" s="76" t="s">
        <v>228</v>
      </c>
      <c r="D71" s="132"/>
      <c r="E71" s="130">
        <f>E69/E70</f>
        <v>3257.1483193892677</v>
      </c>
      <c r="F71" s="131">
        <f>F69/F70</f>
        <v>3259.664440747845</v>
      </c>
      <c r="G71" s="131">
        <f>G69/G70</f>
        <v>8253.971486761711</v>
      </c>
      <c r="H71" s="134">
        <f>H69/H70</f>
        <v>4343.838375841701</v>
      </c>
      <c r="I71" s="131">
        <f>I69/I70</f>
        <v>1258.7040267105453</v>
      </c>
      <c r="J71" s="132"/>
      <c r="K71" s="130">
        <f>K69/K70</f>
        <v>3128.0958215802684</v>
      </c>
      <c r="L71" s="131">
        <f>L69/L70</f>
        <v>2193.6439041584968</v>
      </c>
      <c r="M71" s="133">
        <v>0</v>
      </c>
      <c r="N71" s="134">
        <f>N69/N70</f>
        <v>4306.3396610929185</v>
      </c>
      <c r="O71" s="131">
        <f>O69/O70</f>
        <v>1235.013508337676</v>
      </c>
      <c r="P71" s="127"/>
      <c r="Q71" s="128">
        <f>K71/E71-1</f>
        <v>-0.03962131446111039</v>
      </c>
      <c r="R71" s="129">
        <f>L71/F71-1</f>
        <v>-0.32703382693734506</v>
      </c>
      <c r="S71" s="127">
        <f>M71/G71-1</f>
        <v>-1</v>
      </c>
      <c r="T71" s="128">
        <f>N71/H71-1</f>
        <v>-0.00863262200484538</v>
      </c>
      <c r="U71" s="129">
        <f>O71/I71-1</f>
        <v>-0.018821357420124696</v>
      </c>
      <c r="V71" s="240"/>
    </row>
    <row r="72" spans="1:22" s="10" customFormat="1" ht="16.5" customHeight="1" hidden="1">
      <c r="A72" s="171"/>
      <c r="B72" s="172" t="s">
        <v>84</v>
      </c>
      <c r="C72" s="173"/>
      <c r="D72" s="241">
        <f>SUM(E72:F72)</f>
        <v>2362.16</v>
      </c>
      <c r="E72" s="242">
        <f>E75+E76+0.001+E77</f>
        <v>1985.237</v>
      </c>
      <c r="F72" s="243">
        <f>F75+F76-0.001+F77</f>
        <v>376.923</v>
      </c>
      <c r="G72" s="174"/>
      <c r="H72" s="244"/>
      <c r="I72" s="243"/>
      <c r="J72" s="241">
        <f>SUM(K72:O72)</f>
        <v>100.00000000000001</v>
      </c>
      <c r="K72" s="242">
        <f>K70/J70*100</f>
        <v>78.33139053201026</v>
      </c>
      <c r="L72" s="243">
        <f>L70/J70*100</f>
        <v>13.334413896600905</v>
      </c>
      <c r="M72" s="174">
        <f>M70/J70*100</f>
        <v>0</v>
      </c>
      <c r="N72" s="244">
        <f>N70/J70*100</f>
        <v>8.051528174755841</v>
      </c>
      <c r="O72" s="243">
        <f>O70/J70*100</f>
        <v>0.2826673966330008</v>
      </c>
      <c r="P72" s="174"/>
      <c r="Q72" s="8"/>
      <c r="R72" s="2"/>
      <c r="S72" s="3"/>
      <c r="T72" s="2"/>
      <c r="U72" s="4"/>
      <c r="V72" s="230"/>
    </row>
    <row r="73" spans="1:22" ht="31.5">
      <c r="A73" s="354" t="s">
        <v>88</v>
      </c>
      <c r="B73" s="136" t="s">
        <v>229</v>
      </c>
      <c r="C73" s="181" t="s">
        <v>226</v>
      </c>
      <c r="D73" s="179">
        <f>D75+D76+D77</f>
        <v>2362.16</v>
      </c>
      <c r="E73" s="176">
        <f>E75+E76+E77</f>
        <v>1985.2359999999999</v>
      </c>
      <c r="F73" s="175">
        <f>F75+F76+F77</f>
        <v>376.924</v>
      </c>
      <c r="G73" s="179"/>
      <c r="H73" s="176"/>
      <c r="I73" s="175"/>
      <c r="J73" s="179">
        <f>J75+J76+J77</f>
        <v>2489.2390250000003</v>
      </c>
      <c r="K73" s="176">
        <f>K75+K76+K77</f>
        <v>2127.135145</v>
      </c>
      <c r="L73" s="175">
        <f>L75+L76+L77</f>
        <v>362.10388000000006</v>
      </c>
      <c r="M73" s="179"/>
      <c r="N73" s="176"/>
      <c r="O73" s="175"/>
      <c r="P73" s="185">
        <f>J73/D73-1</f>
        <v>0.0537978058217905</v>
      </c>
      <c r="Q73" s="186">
        <f>K73/E73-1</f>
        <v>0.07147721731824341</v>
      </c>
      <c r="R73" s="187">
        <f>L73/F73-1</f>
        <v>-0.03931858942386246</v>
      </c>
      <c r="S73" s="185"/>
      <c r="T73" s="186"/>
      <c r="U73" s="194"/>
      <c r="V73" s="226"/>
    </row>
    <row r="74" spans="1:22" ht="18.75">
      <c r="A74" s="352"/>
      <c r="B74" s="62" t="s">
        <v>172</v>
      </c>
      <c r="C74" s="182"/>
      <c r="D74" s="180"/>
      <c r="E74" s="177"/>
      <c r="F74" s="139"/>
      <c r="G74" s="180"/>
      <c r="H74" s="177"/>
      <c r="I74" s="139"/>
      <c r="J74" s="180"/>
      <c r="K74" s="177"/>
      <c r="L74" s="139"/>
      <c r="M74" s="180"/>
      <c r="N74" s="177"/>
      <c r="O74" s="139"/>
      <c r="P74" s="188"/>
      <c r="Q74" s="189"/>
      <c r="R74" s="190"/>
      <c r="S74" s="188"/>
      <c r="T74" s="189"/>
      <c r="U74" s="195"/>
      <c r="V74" s="227"/>
    </row>
    <row r="75" spans="1:22" ht="18.75">
      <c r="A75" s="352"/>
      <c r="B75" s="138" t="s">
        <v>230</v>
      </c>
      <c r="C75" s="183" t="s">
        <v>16</v>
      </c>
      <c r="D75" s="140">
        <f>SUM(E75:F75)</f>
        <v>1457.987</v>
      </c>
      <c r="E75" s="177">
        <f>1125.606</f>
        <v>1125.606</v>
      </c>
      <c r="F75" s="139">
        <f>332.381</f>
        <v>332.381</v>
      </c>
      <c r="G75" s="140"/>
      <c r="H75" s="177"/>
      <c r="I75" s="139"/>
      <c r="J75" s="140">
        <f>K75+L75</f>
        <v>1571.8398240000001</v>
      </c>
      <c r="K75" s="177">
        <f>'[2]г.Павлодар продолж. '!$AA$1570</f>
        <v>1248.681654</v>
      </c>
      <c r="L75" s="139">
        <f>'[2]г.Павлодар продолж. '!$AA$1630</f>
        <v>323.15817000000004</v>
      </c>
      <c r="M75" s="140"/>
      <c r="N75" s="177"/>
      <c r="O75" s="139"/>
      <c r="P75" s="191">
        <f aca="true" t="shared" si="26" ref="P75:R77">J75/D75-1</f>
        <v>0.07808905292022494</v>
      </c>
      <c r="Q75" s="189">
        <f t="shared" si="26"/>
        <v>0.1093416826136322</v>
      </c>
      <c r="R75" s="190">
        <f t="shared" si="26"/>
        <v>-0.02774776536564949</v>
      </c>
      <c r="S75" s="191"/>
      <c r="T75" s="189"/>
      <c r="U75" s="195"/>
      <c r="V75" s="227"/>
    </row>
    <row r="76" spans="1:22" ht="19.5" thickBot="1">
      <c r="A76" s="352"/>
      <c r="B76" s="138" t="s">
        <v>231</v>
      </c>
      <c r="C76" s="183" t="s">
        <v>16</v>
      </c>
      <c r="D76" s="140">
        <f>SUM(E76:F76)</f>
        <v>581.904</v>
      </c>
      <c r="E76" s="177">
        <v>558.298</v>
      </c>
      <c r="F76" s="139">
        <v>23.606</v>
      </c>
      <c r="G76" s="140"/>
      <c r="H76" s="177"/>
      <c r="I76" s="139"/>
      <c r="J76" s="140">
        <f>K76+L76</f>
        <v>621.4796430000001</v>
      </c>
      <c r="K76" s="177">
        <f>'[2]г.Павлодар продолж. '!$AA$1690</f>
        <v>599.6775120000001</v>
      </c>
      <c r="L76" s="139">
        <f>'[2]г.Павлодар продолж. '!$AA$1780</f>
        <v>21.802131000000006</v>
      </c>
      <c r="M76" s="140"/>
      <c r="N76" s="177"/>
      <c r="O76" s="139"/>
      <c r="P76" s="191">
        <f t="shared" si="26"/>
        <v>0.06801060484203592</v>
      </c>
      <c r="Q76" s="189">
        <f t="shared" si="26"/>
        <v>0.07411724921099494</v>
      </c>
      <c r="R76" s="190">
        <f t="shared" si="26"/>
        <v>-0.07641569939845783</v>
      </c>
      <c r="S76" s="191"/>
      <c r="T76" s="189"/>
      <c r="U76" s="195"/>
      <c r="V76" s="231"/>
    </row>
    <row r="77" spans="1:22" ht="16.5" thickBot="1">
      <c r="A77" s="353"/>
      <c r="B77" s="138" t="s">
        <v>232</v>
      </c>
      <c r="C77" s="184" t="s">
        <v>16</v>
      </c>
      <c r="D77" s="142">
        <f>SUM(E77:F77)</f>
        <v>322.269</v>
      </c>
      <c r="E77" s="178">
        <v>301.332</v>
      </c>
      <c r="F77" s="141">
        <v>20.937</v>
      </c>
      <c r="G77" s="142"/>
      <c r="H77" s="178"/>
      <c r="I77" s="141"/>
      <c r="J77" s="142">
        <f>K77+L77</f>
        <v>295.919558</v>
      </c>
      <c r="K77" s="178">
        <f>'[2]г.Павлодар продолж. '!$AA$1855</f>
        <v>278.775979</v>
      </c>
      <c r="L77" s="141">
        <f>'[2]г.Павлодар продолж. '!$AA$1936</f>
        <v>17.143579000000003</v>
      </c>
      <c r="M77" s="142"/>
      <c r="N77" s="178"/>
      <c r="O77" s="141"/>
      <c r="P77" s="191">
        <f t="shared" si="26"/>
        <v>-0.08176226072008175</v>
      </c>
      <c r="Q77" s="189">
        <f t="shared" si="26"/>
        <v>-0.07485438320523541</v>
      </c>
      <c r="R77" s="190">
        <f t="shared" si="26"/>
        <v>-0.1811826431675979</v>
      </c>
      <c r="S77" s="192"/>
      <c r="T77" s="193"/>
      <c r="U77" s="166"/>
      <c r="V77" s="403" t="s">
        <v>233</v>
      </c>
    </row>
    <row r="78" spans="1:22" s="149" customFormat="1" ht="15.75">
      <c r="A78" s="354" t="s">
        <v>89</v>
      </c>
      <c r="B78" s="143" t="s">
        <v>227</v>
      </c>
      <c r="C78" s="406" t="s">
        <v>228</v>
      </c>
      <c r="D78" s="205"/>
      <c r="E78" s="144"/>
      <c r="F78" s="206"/>
      <c r="G78" s="145"/>
      <c r="H78" s="144"/>
      <c r="I78" s="146"/>
      <c r="J78" s="205"/>
      <c r="K78" s="144"/>
      <c r="L78" s="206"/>
      <c r="M78" s="145"/>
      <c r="N78" s="144"/>
      <c r="O78" s="146"/>
      <c r="P78" s="57"/>
      <c r="Q78" s="147"/>
      <c r="R78" s="148"/>
      <c r="S78" s="57"/>
      <c r="T78" s="147"/>
      <c r="U78" s="148"/>
      <c r="V78" s="404"/>
    </row>
    <row r="79" spans="1:22" s="149" customFormat="1" ht="31.5">
      <c r="A79" s="352"/>
      <c r="B79" s="150" t="s">
        <v>234</v>
      </c>
      <c r="C79" s="350"/>
      <c r="D79" s="151"/>
      <c r="E79" s="152">
        <v>1897.37</v>
      </c>
      <c r="F79" s="153">
        <v>1168.02</v>
      </c>
      <c r="G79" s="154"/>
      <c r="H79" s="155"/>
      <c r="I79" s="156"/>
      <c r="J79" s="151"/>
      <c r="K79" s="152">
        <f>'[5]г.Павлодар 2018 год'!$CU$14</f>
        <v>1882.85254862306</v>
      </c>
      <c r="L79" s="153">
        <f>'[5]г.Павлодар 2018 год'!$CU$110</f>
        <v>1156.631872415923</v>
      </c>
      <c r="M79" s="154"/>
      <c r="N79" s="155"/>
      <c r="O79" s="156"/>
      <c r="P79" s="157"/>
      <c r="Q79" s="71">
        <f aca="true" t="shared" si="27" ref="Q79:R87">K79/E79-1</f>
        <v>-0.007651354968688073</v>
      </c>
      <c r="R79" s="72">
        <f t="shared" si="27"/>
        <v>-0.0097499422818762</v>
      </c>
      <c r="S79" s="158"/>
      <c r="T79" s="128"/>
      <c r="U79" s="159"/>
      <c r="V79" s="404"/>
    </row>
    <row r="80" spans="1:22" s="149" customFormat="1" ht="31.5">
      <c r="A80" s="352"/>
      <c r="B80" s="91" t="s">
        <v>235</v>
      </c>
      <c r="C80" s="350"/>
      <c r="D80" s="151"/>
      <c r="E80" s="152">
        <v>2769.66</v>
      </c>
      <c r="F80" s="153">
        <v>2468.29</v>
      </c>
      <c r="G80" s="154"/>
      <c r="H80" s="155"/>
      <c r="I80" s="156"/>
      <c r="J80" s="151"/>
      <c r="K80" s="152">
        <f>'[5]г.Павлодар 2018 год'!$CU$179</f>
        <v>2744.7392578474787</v>
      </c>
      <c r="L80" s="153">
        <f>'[5]г.Павлодар 2018 год'!$CU$257</f>
        <v>2445.2984685301058</v>
      </c>
      <c r="M80" s="154"/>
      <c r="N80" s="155"/>
      <c r="O80" s="156"/>
      <c r="P80" s="157"/>
      <c r="Q80" s="71">
        <f t="shared" si="27"/>
        <v>-0.00899776223526394</v>
      </c>
      <c r="R80" s="72">
        <f t="shared" si="27"/>
        <v>-0.009314761016693374</v>
      </c>
      <c r="S80" s="158"/>
      <c r="T80" s="128"/>
      <c r="U80" s="159"/>
      <c r="V80" s="404"/>
    </row>
    <row r="81" spans="1:22" s="149" customFormat="1" ht="63">
      <c r="A81" s="352"/>
      <c r="B81" s="91" t="s">
        <v>236</v>
      </c>
      <c r="C81" s="350"/>
      <c r="D81" s="151"/>
      <c r="E81" s="152">
        <v>2308.05</v>
      </c>
      <c r="F81" s="153">
        <v>2336.03</v>
      </c>
      <c r="G81" s="154"/>
      <c r="H81" s="155"/>
      <c r="I81" s="156"/>
      <c r="J81" s="151"/>
      <c r="K81" s="152">
        <f>'[2]г.Павлодар продолж. '!$AO$1571</f>
        <v>2284.3475196369022</v>
      </c>
      <c r="L81" s="153">
        <f>'[2]г.Павлодар продолж. '!$AO$1580</f>
        <v>2313.6214433949067</v>
      </c>
      <c r="M81" s="154"/>
      <c r="N81" s="155"/>
      <c r="O81" s="156"/>
      <c r="P81" s="157"/>
      <c r="Q81" s="71">
        <f t="shared" si="27"/>
        <v>-0.010269483054135664</v>
      </c>
      <c r="R81" s="72">
        <f t="shared" si="27"/>
        <v>-0.009592580833762243</v>
      </c>
      <c r="S81" s="158"/>
      <c r="T81" s="128"/>
      <c r="U81" s="159"/>
      <c r="V81" s="404"/>
    </row>
    <row r="82" spans="1:22" s="149" customFormat="1" ht="31.5">
      <c r="A82" s="352"/>
      <c r="B82" s="91" t="s">
        <v>237</v>
      </c>
      <c r="C82" s="350"/>
      <c r="D82" s="151"/>
      <c r="E82" s="152">
        <v>4392.97</v>
      </c>
      <c r="F82" s="153">
        <v>3525.8</v>
      </c>
      <c r="G82" s="154"/>
      <c r="H82" s="155"/>
      <c r="I82" s="156"/>
      <c r="J82" s="151"/>
      <c r="K82" s="152">
        <f>'[5]г.Павлодар 2018 год'!$CU$711</f>
        <v>4320.547383547688</v>
      </c>
      <c r="L82" s="153">
        <f>'[2]г.Павлодар продолж. '!$AM$1709</f>
        <v>3411.890334988635</v>
      </c>
      <c r="M82" s="154"/>
      <c r="N82" s="155"/>
      <c r="O82" s="156"/>
      <c r="P82" s="157"/>
      <c r="Q82" s="71">
        <f t="shared" si="27"/>
        <v>-0.016486025730271914</v>
      </c>
      <c r="R82" s="72">
        <f t="shared" si="27"/>
        <v>-0.032307466393829865</v>
      </c>
      <c r="S82" s="158"/>
      <c r="T82" s="128"/>
      <c r="U82" s="159"/>
      <c r="V82" s="404"/>
    </row>
    <row r="83" spans="1:22" s="149" customFormat="1" ht="31.5">
      <c r="A83" s="352"/>
      <c r="B83" s="91" t="s">
        <v>238</v>
      </c>
      <c r="C83" s="350"/>
      <c r="D83" s="151"/>
      <c r="E83" s="152">
        <v>7167.35</v>
      </c>
      <c r="F83" s="153">
        <v>7170.69</v>
      </c>
      <c r="G83" s="154"/>
      <c r="H83" s="155"/>
      <c r="I83" s="156"/>
      <c r="J83" s="151"/>
      <c r="K83" s="152">
        <f>'[5]г.Павлодар 2018 год'!$CU$895</f>
        <v>7177.517336285044</v>
      </c>
      <c r="L83" s="153">
        <f>'[5]г.Павлодар 2018 год'!$CU$982</f>
        <v>6976.062811485153</v>
      </c>
      <c r="M83" s="154"/>
      <c r="N83" s="155"/>
      <c r="O83" s="156"/>
      <c r="P83" s="157"/>
      <c r="Q83" s="71">
        <f t="shared" si="27"/>
        <v>0.0014185628279690388</v>
      </c>
      <c r="R83" s="72">
        <f t="shared" si="27"/>
        <v>-0.0271420447006977</v>
      </c>
      <c r="S83" s="158"/>
      <c r="T83" s="128"/>
      <c r="U83" s="159"/>
      <c r="V83" s="404"/>
    </row>
    <row r="84" spans="1:23" s="149" customFormat="1" ht="63">
      <c r="A84" s="352"/>
      <c r="B84" s="160" t="s">
        <v>239</v>
      </c>
      <c r="C84" s="350"/>
      <c r="D84" s="161"/>
      <c r="E84" s="162">
        <v>4778.23</v>
      </c>
      <c r="F84" s="163">
        <v>4780.46</v>
      </c>
      <c r="G84" s="133"/>
      <c r="H84" s="130"/>
      <c r="I84" s="135"/>
      <c r="J84" s="161"/>
      <c r="K84" s="162">
        <f>'[2]г.Павлодар продолж. '!$AO$1691</f>
        <v>4731.124505101718</v>
      </c>
      <c r="L84" s="163">
        <f>'[2]г.Павлодар продолж. '!$AO$1709</f>
        <v>4743.641087659885</v>
      </c>
      <c r="M84" s="133"/>
      <c r="N84" s="130"/>
      <c r="O84" s="135"/>
      <c r="P84" s="164"/>
      <c r="Q84" s="71">
        <f t="shared" si="27"/>
        <v>-0.009858356524964695</v>
      </c>
      <c r="R84" s="72">
        <f t="shared" si="27"/>
        <v>-0.00770196013356772</v>
      </c>
      <c r="S84" s="83"/>
      <c r="T84" s="87"/>
      <c r="U84" s="88"/>
      <c r="V84" s="404"/>
      <c r="W84" s="165"/>
    </row>
    <row r="85" spans="1:23" s="149" customFormat="1" ht="31.5">
      <c r="A85" s="352"/>
      <c r="B85" s="160" t="s">
        <v>240</v>
      </c>
      <c r="C85" s="350"/>
      <c r="D85" s="151"/>
      <c r="E85" s="152">
        <v>4500.89</v>
      </c>
      <c r="F85" s="153">
        <v>4662.08</v>
      </c>
      <c r="G85" s="151"/>
      <c r="H85" s="152"/>
      <c r="I85" s="153"/>
      <c r="J85" s="151"/>
      <c r="K85" s="152">
        <f>'[5]г.Павлодар 2018 год'!$CU$347</f>
        <v>4427.529659627046</v>
      </c>
      <c r="L85" s="153">
        <f>'[5]г.Павлодар 2018 год'!$CU$447</f>
        <v>4596.243449272329</v>
      </c>
      <c r="M85" s="151"/>
      <c r="N85" s="152"/>
      <c r="O85" s="153"/>
      <c r="P85" s="164"/>
      <c r="Q85" s="71">
        <f t="shared" si="27"/>
        <v>-0.016299074265968327</v>
      </c>
      <c r="R85" s="72">
        <f t="shared" si="27"/>
        <v>-0.014121711924220737</v>
      </c>
      <c r="S85" s="83"/>
      <c r="T85" s="87"/>
      <c r="U85" s="88"/>
      <c r="V85" s="404"/>
      <c r="W85" s="165"/>
    </row>
    <row r="86" spans="1:23" s="149" customFormat="1" ht="32.25" thickBot="1">
      <c r="A86" s="352"/>
      <c r="B86" s="160" t="s">
        <v>241</v>
      </c>
      <c r="C86" s="350"/>
      <c r="D86" s="151"/>
      <c r="E86" s="152">
        <v>7167.35</v>
      </c>
      <c r="F86" s="153">
        <v>7170.69</v>
      </c>
      <c r="G86" s="151"/>
      <c r="H86" s="152"/>
      <c r="I86" s="153"/>
      <c r="J86" s="151"/>
      <c r="K86" s="152">
        <f>'[5]г.Павлодар 2018 год'!$CU$534</f>
        <v>7116.079621570126</v>
      </c>
      <c r="L86" s="153">
        <f>'[5]г.Павлодар 2018 год'!$CU$621</f>
        <v>7109.15933843118</v>
      </c>
      <c r="M86" s="151"/>
      <c r="N86" s="152"/>
      <c r="O86" s="153"/>
      <c r="P86" s="164"/>
      <c r="Q86" s="71">
        <f t="shared" si="27"/>
        <v>-0.007153324231393032</v>
      </c>
      <c r="R86" s="72">
        <f t="shared" si="27"/>
        <v>-0.008580856454374675</v>
      </c>
      <c r="S86" s="83"/>
      <c r="T86" s="87"/>
      <c r="U86" s="88"/>
      <c r="V86" s="405"/>
      <c r="W86" s="165"/>
    </row>
    <row r="87" spans="1:23" s="149" customFormat="1" ht="63.75" thickBot="1">
      <c r="A87" s="353"/>
      <c r="B87" s="160" t="s">
        <v>242</v>
      </c>
      <c r="C87" s="351"/>
      <c r="D87" s="208"/>
      <c r="E87" s="209">
        <v>4778.23</v>
      </c>
      <c r="F87" s="210">
        <v>4780.46</v>
      </c>
      <c r="G87" s="208"/>
      <c r="H87" s="209"/>
      <c r="I87" s="210"/>
      <c r="J87" s="208"/>
      <c r="K87" s="209">
        <f>K84</f>
        <v>4731.124505101718</v>
      </c>
      <c r="L87" s="210">
        <f>L84</f>
        <v>4743.641087659885</v>
      </c>
      <c r="M87" s="208"/>
      <c r="N87" s="209"/>
      <c r="O87" s="210"/>
      <c r="P87" s="211"/>
      <c r="Q87" s="212">
        <f t="shared" si="27"/>
        <v>-0.009858356524964695</v>
      </c>
      <c r="R87" s="213">
        <f t="shared" si="27"/>
        <v>-0.00770196013356772</v>
      </c>
      <c r="S87" s="214"/>
      <c r="T87" s="215"/>
      <c r="U87" s="216"/>
      <c r="V87" s="232"/>
      <c r="W87" s="165"/>
    </row>
    <row r="88" spans="1:23" s="149" customFormat="1" ht="15.75" customHeight="1" hidden="1">
      <c r="A88" s="245"/>
      <c r="B88" s="246" t="s">
        <v>85</v>
      </c>
      <c r="C88" s="247"/>
      <c r="D88" s="248"/>
      <c r="E88" s="248"/>
      <c r="F88" s="248"/>
      <c r="G88" s="249"/>
      <c r="H88" s="249"/>
      <c r="I88" s="249"/>
      <c r="J88" s="248"/>
      <c r="K88" s="248"/>
      <c r="L88" s="248"/>
      <c r="M88" s="249"/>
      <c r="N88" s="249"/>
      <c r="O88" s="249"/>
      <c r="P88" s="250"/>
      <c r="Q88" s="250"/>
      <c r="R88" s="250"/>
      <c r="S88" s="251"/>
      <c r="T88" s="251"/>
      <c r="U88" s="251"/>
      <c r="V88" s="233"/>
      <c r="W88" s="165"/>
    </row>
    <row r="89" spans="1:23" s="149" customFormat="1" ht="15.75" customHeight="1" hidden="1">
      <c r="A89" s="245"/>
      <c r="B89" s="252" t="s">
        <v>98</v>
      </c>
      <c r="C89" s="247" t="s">
        <v>99</v>
      </c>
      <c r="D89" s="407">
        <v>132</v>
      </c>
      <c r="E89" s="407"/>
      <c r="F89" s="407"/>
      <c r="G89" s="407"/>
      <c r="H89" s="407"/>
      <c r="I89" s="407"/>
      <c r="J89" s="407">
        <v>132</v>
      </c>
      <c r="K89" s="407"/>
      <c r="L89" s="407"/>
      <c r="M89" s="407"/>
      <c r="N89" s="407"/>
      <c r="O89" s="407"/>
      <c r="P89" s="402">
        <f>J89/D89-1</f>
        <v>0</v>
      </c>
      <c r="Q89" s="402"/>
      <c r="R89" s="402"/>
      <c r="S89" s="402"/>
      <c r="T89" s="402"/>
      <c r="U89" s="402"/>
      <c r="V89" s="20" t="s">
        <v>111</v>
      </c>
      <c r="W89" s="165"/>
    </row>
    <row r="90" spans="1:23" s="149" customFormat="1" ht="41.25" customHeight="1" hidden="1">
      <c r="A90" s="245"/>
      <c r="B90" s="252" t="s">
        <v>100</v>
      </c>
      <c r="C90" s="247" t="s">
        <v>86</v>
      </c>
      <c r="D90" s="401">
        <f>D39/132/12*1000</f>
        <v>59861.74242424243</v>
      </c>
      <c r="E90" s="401"/>
      <c r="F90" s="401"/>
      <c r="G90" s="401"/>
      <c r="H90" s="401"/>
      <c r="I90" s="401"/>
      <c r="J90" s="401">
        <f>J39/132/12*1000</f>
        <v>89629.93651861665</v>
      </c>
      <c r="K90" s="401"/>
      <c r="L90" s="401"/>
      <c r="M90" s="401"/>
      <c r="N90" s="401"/>
      <c r="O90" s="401"/>
      <c r="P90" s="402">
        <f>J90/D90-1</f>
        <v>0.4972824526791404</v>
      </c>
      <c r="Q90" s="402"/>
      <c r="R90" s="402"/>
      <c r="S90" s="402"/>
      <c r="T90" s="402"/>
      <c r="U90" s="402"/>
      <c r="V90" s="234"/>
      <c r="W90" s="165"/>
    </row>
    <row r="91" spans="1:23" s="149" customFormat="1" ht="15.75" hidden="1">
      <c r="A91" s="245"/>
      <c r="B91" s="253" t="s">
        <v>101</v>
      </c>
      <c r="C91" s="247" t="s">
        <v>102</v>
      </c>
      <c r="D91" s="248"/>
      <c r="E91" s="248">
        <f>E31/E70</f>
        <v>55.17344183056813</v>
      </c>
      <c r="F91" s="248">
        <f>F31/F70</f>
        <v>55.16643982988568</v>
      </c>
      <c r="G91" s="248">
        <f>G31/G70</f>
        <v>55.39714867617107</v>
      </c>
      <c r="H91" s="248">
        <f>H31/H70</f>
        <v>55.49837927227786</v>
      </c>
      <c r="I91" s="248">
        <f>I31/I70</f>
        <v>55.2716794377624</v>
      </c>
      <c r="J91" s="248"/>
      <c r="K91" s="248">
        <f>K31/K70</f>
        <v>75.3468455934841</v>
      </c>
      <c r="L91" s="248">
        <f>L31/L70</f>
        <v>75.34684559348409</v>
      </c>
      <c r="M91" s="248">
        <v>0</v>
      </c>
      <c r="N91" s="248">
        <f>N31/N70</f>
        <v>75.3468455934841</v>
      </c>
      <c r="O91" s="248">
        <f>O31/O70</f>
        <v>75.3468455934841</v>
      </c>
      <c r="P91" s="250"/>
      <c r="Q91" s="250">
        <f>K91/E91-1</f>
        <v>0.36563613023937114</v>
      </c>
      <c r="R91" s="250">
        <f>L91/F91-1</f>
        <v>0.3658094636128022</v>
      </c>
      <c r="S91" s="250">
        <f>M91/G91-1</f>
        <v>-1</v>
      </c>
      <c r="T91" s="250">
        <f>N91/H91-1</f>
        <v>0.35764046773021363</v>
      </c>
      <c r="U91" s="250">
        <f>O91/I91-1</f>
        <v>0.3632089048122187</v>
      </c>
      <c r="V91" s="254"/>
      <c r="W91" s="165"/>
    </row>
    <row r="92" spans="1:23" s="149" customFormat="1" ht="15.75">
      <c r="A92" s="167"/>
      <c r="B92" s="167"/>
      <c r="C92" s="7"/>
      <c r="D92" s="167"/>
      <c r="E92" s="167"/>
      <c r="F92" s="167"/>
      <c r="G92" s="7"/>
      <c r="H92" s="167"/>
      <c r="I92" s="7"/>
      <c r="J92" s="168"/>
      <c r="K92" s="168"/>
      <c r="L92" s="168"/>
      <c r="M92" s="168"/>
      <c r="N92" s="168"/>
      <c r="O92" s="168"/>
      <c r="P92" s="167"/>
      <c r="Q92" s="167"/>
      <c r="R92" s="167"/>
      <c r="S92" s="167"/>
      <c r="T92" s="167"/>
      <c r="U92" s="167"/>
      <c r="V92" s="255"/>
      <c r="W92" s="165"/>
    </row>
    <row r="93" spans="1:22" ht="23.25" customHeight="1">
      <c r="A93" s="25" t="s">
        <v>243</v>
      </c>
      <c r="B93" s="256"/>
      <c r="C93" s="25"/>
      <c r="D93" s="25"/>
      <c r="E93" s="25"/>
      <c r="F93" s="25"/>
      <c r="G93" s="7"/>
      <c r="H93" s="7"/>
      <c r="I93" s="7"/>
      <c r="J93" s="7"/>
      <c r="K93" s="7"/>
      <c r="L93" s="7"/>
      <c r="M93" s="7"/>
      <c r="N93" s="7"/>
      <c r="R93" s="169"/>
      <c r="S93" s="7"/>
      <c r="T93" s="7"/>
      <c r="U93" s="170"/>
      <c r="V93" s="257"/>
    </row>
    <row r="94" spans="1:21" ht="15.75">
      <c r="A94" s="26" t="s">
        <v>244</v>
      </c>
      <c r="B94" s="26"/>
      <c r="C94" s="26"/>
      <c r="D94" s="27"/>
      <c r="E94" s="27"/>
      <c r="F94" s="27"/>
      <c r="G94" s="5"/>
      <c r="H94" s="5"/>
      <c r="I94" s="5"/>
      <c r="J94" s="5"/>
      <c r="K94" s="5"/>
      <c r="L94" s="5"/>
      <c r="M94" s="5"/>
      <c r="N94" s="5"/>
      <c r="R94" s="27"/>
      <c r="S94" s="5"/>
      <c r="T94" s="5"/>
      <c r="U94" s="12"/>
    </row>
    <row r="95" spans="1:21" ht="15.75">
      <c r="A95" s="26" t="s">
        <v>124</v>
      </c>
      <c r="B95" s="26"/>
      <c r="C95" s="27"/>
      <c r="D95" s="27"/>
      <c r="E95" s="27"/>
      <c r="F95" s="27"/>
      <c r="H95" s="5"/>
      <c r="I95" s="5"/>
      <c r="J95" s="5"/>
      <c r="K95" s="5"/>
      <c r="L95" s="5"/>
      <c r="M95" s="5"/>
      <c r="N95" s="5"/>
      <c r="R95" s="27"/>
      <c r="S95" s="5"/>
      <c r="T95" s="5"/>
      <c r="U95" s="12"/>
    </row>
    <row r="96" spans="1:21" ht="15.75">
      <c r="A96" s="26" t="s">
        <v>245</v>
      </c>
      <c r="B96" s="26"/>
      <c r="C96" s="26"/>
      <c r="D96" s="27"/>
      <c r="E96" s="27"/>
      <c r="F96" s="27"/>
      <c r="G96" s="5"/>
      <c r="H96" s="5"/>
      <c r="I96" s="5"/>
      <c r="J96" s="5"/>
      <c r="K96" s="5"/>
      <c r="L96" s="5"/>
      <c r="M96" s="5"/>
      <c r="N96" s="5"/>
      <c r="R96" s="27"/>
      <c r="S96" s="5"/>
      <c r="T96" s="5"/>
      <c r="U96" s="12"/>
    </row>
    <row r="97" spans="1:21" ht="15.75">
      <c r="A97" s="26" t="s">
        <v>246</v>
      </c>
      <c r="B97" s="256"/>
      <c r="C97" s="26"/>
      <c r="D97" s="27"/>
      <c r="E97" s="27"/>
      <c r="F97" s="27"/>
      <c r="G97" s="5"/>
      <c r="H97" s="5"/>
      <c r="I97" s="5"/>
      <c r="J97" s="5"/>
      <c r="K97" s="5"/>
      <c r="L97" s="5"/>
      <c r="M97" s="5"/>
      <c r="N97" s="5"/>
      <c r="R97" s="27"/>
      <c r="S97" s="5"/>
      <c r="T97" s="5"/>
      <c r="U97" s="12"/>
    </row>
    <row r="98" spans="1:21" ht="15.75">
      <c r="A98" s="26"/>
      <c r="B98" s="256"/>
      <c r="C98" s="26"/>
      <c r="D98" s="27"/>
      <c r="E98" s="27"/>
      <c r="F98" s="27"/>
      <c r="G98" s="5"/>
      <c r="H98" s="5"/>
      <c r="I98" s="5"/>
      <c r="J98" s="5"/>
      <c r="K98" s="5"/>
      <c r="L98" s="5"/>
      <c r="M98" s="5"/>
      <c r="N98" s="5"/>
      <c r="R98" s="27"/>
      <c r="S98" s="5"/>
      <c r="T98" s="5"/>
      <c r="U98" s="12"/>
    </row>
    <row r="99" spans="1:21" ht="15.75">
      <c r="A99" s="27" t="s">
        <v>247</v>
      </c>
      <c r="B99" s="256"/>
      <c r="C99" s="27"/>
      <c r="D99" s="27"/>
      <c r="E99" s="27"/>
      <c r="F99" s="27"/>
      <c r="G99" s="5"/>
      <c r="H99" s="5"/>
      <c r="I99" s="5"/>
      <c r="J99" s="5"/>
      <c r="K99" s="5"/>
      <c r="L99" s="5"/>
      <c r="M99" s="5"/>
      <c r="N99" s="5"/>
      <c r="R99" s="27"/>
      <c r="S99" s="5" t="s">
        <v>248</v>
      </c>
      <c r="T99" s="5"/>
      <c r="U99" s="12"/>
    </row>
    <row r="100" spans="1:21" ht="15.75">
      <c r="A100" s="26"/>
      <c r="B100" s="256"/>
      <c r="C100" s="26"/>
      <c r="D100" s="27"/>
      <c r="E100" s="27"/>
      <c r="F100" s="27"/>
      <c r="G100" s="5"/>
      <c r="H100" s="5"/>
      <c r="I100" s="5"/>
      <c r="J100" s="5"/>
      <c r="K100" s="5"/>
      <c r="L100" s="5"/>
      <c r="M100" s="5"/>
      <c r="N100" s="5"/>
      <c r="R100" s="27"/>
      <c r="S100" s="5"/>
      <c r="T100" s="5"/>
      <c r="U100" s="12"/>
    </row>
    <row r="101" spans="1:21" ht="15.75">
      <c r="A101" s="26" t="s">
        <v>249</v>
      </c>
      <c r="B101" s="256"/>
      <c r="C101" s="26"/>
      <c r="D101" s="27"/>
      <c r="E101" s="27"/>
      <c r="F101" s="27"/>
      <c r="G101" s="5"/>
      <c r="H101" s="5"/>
      <c r="I101" s="5"/>
      <c r="J101" s="5"/>
      <c r="K101" s="5"/>
      <c r="L101" s="5"/>
      <c r="M101" s="5"/>
      <c r="N101" s="5"/>
      <c r="R101" s="27"/>
      <c r="S101" s="5"/>
      <c r="T101" s="5"/>
      <c r="U101" s="12"/>
    </row>
    <row r="102" spans="1:21" ht="15.75">
      <c r="A102" s="26" t="s">
        <v>250</v>
      </c>
      <c r="B102" s="256"/>
      <c r="C102" s="26"/>
      <c r="D102" s="27"/>
      <c r="E102" s="27"/>
      <c r="F102" s="27"/>
      <c r="H102" s="5"/>
      <c r="I102" s="5"/>
      <c r="J102" s="5"/>
      <c r="K102" s="5"/>
      <c r="L102" s="5"/>
      <c r="M102" s="5"/>
      <c r="N102" s="259" t="s">
        <v>141</v>
      </c>
      <c r="R102" s="27"/>
      <c r="S102" s="12"/>
      <c r="T102" s="12"/>
      <c r="U102" s="12"/>
    </row>
    <row r="103" spans="8:18" ht="15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8:18" ht="15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8:18" ht="15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ht="15" outlineLevel="1"/>
    <row r="107" ht="15" outlineLevel="1"/>
    <row r="108" ht="15" outlineLevel="1"/>
    <row r="109" ht="15" outlineLevel="1"/>
    <row r="110" ht="12.75" customHeight="1" outlineLevel="1"/>
    <row r="111" ht="15" outlineLevel="1"/>
    <row r="112" ht="15" outlineLevel="1">
      <c r="J112" s="6"/>
    </row>
    <row r="113" spans="10:12" ht="15" outlineLevel="1">
      <c r="J113" s="6"/>
      <c r="L113" s="11"/>
    </row>
    <row r="114" spans="10:12" ht="15" outlineLevel="1">
      <c r="J114" s="6"/>
      <c r="L114" s="11"/>
    </row>
    <row r="115" ht="15" outlineLevel="1">
      <c r="J115" s="6"/>
    </row>
    <row r="116" spans="10:12" ht="15" outlineLevel="1">
      <c r="J116" s="6"/>
      <c r="L116" s="11"/>
    </row>
    <row r="117" spans="10:12" ht="15" outlineLevel="1">
      <c r="J117" s="6"/>
      <c r="L117" s="11"/>
    </row>
    <row r="118" spans="10:12" ht="15" outlineLevel="1">
      <c r="J118" s="6"/>
      <c r="L118" s="11"/>
    </row>
    <row r="119" ht="15" outlineLevel="1">
      <c r="J119" s="6"/>
    </row>
    <row r="131" ht="15"/>
    <row r="132" ht="15"/>
  </sheetData>
  <sheetProtection/>
  <mergeCells count="48">
    <mergeCell ref="Q1:V1"/>
    <mergeCell ref="Q2:V2"/>
    <mergeCell ref="Q3:V3"/>
    <mergeCell ref="Q4:V4"/>
    <mergeCell ref="Q5:V5"/>
    <mergeCell ref="B6:G6"/>
    <mergeCell ref="Q6:V6"/>
    <mergeCell ref="B8:O8"/>
    <mergeCell ref="N16:O16"/>
    <mergeCell ref="A17:A21"/>
    <mergeCell ref="B17:B21"/>
    <mergeCell ref="C17:C21"/>
    <mergeCell ref="D17:I17"/>
    <mergeCell ref="J17:O17"/>
    <mergeCell ref="P17:U17"/>
    <mergeCell ref="V17:V21"/>
    <mergeCell ref="D18:D21"/>
    <mergeCell ref="E18:F20"/>
    <mergeCell ref="G18:I19"/>
    <mergeCell ref="J18:J21"/>
    <mergeCell ref="K18:L20"/>
    <mergeCell ref="M18:O19"/>
    <mergeCell ref="P18:P21"/>
    <mergeCell ref="Q18:U18"/>
    <mergeCell ref="Q19:R20"/>
    <mergeCell ref="S19:U19"/>
    <mergeCell ref="G20:G21"/>
    <mergeCell ref="H20:I20"/>
    <mergeCell ref="M20:M21"/>
    <mergeCell ref="N20:O20"/>
    <mergeCell ref="S20:S21"/>
    <mergeCell ref="T20:U20"/>
    <mergeCell ref="A33:A34"/>
    <mergeCell ref="A37:A38"/>
    <mergeCell ref="V40:V41"/>
    <mergeCell ref="A43:A44"/>
    <mergeCell ref="A47:A48"/>
    <mergeCell ref="A55:A59"/>
    <mergeCell ref="D90:I90"/>
    <mergeCell ref="J90:O90"/>
    <mergeCell ref="P90:U90"/>
    <mergeCell ref="A73:A77"/>
    <mergeCell ref="V77:V86"/>
    <mergeCell ref="A78:A87"/>
    <mergeCell ref="C78:C87"/>
    <mergeCell ref="D89:I89"/>
    <mergeCell ref="J89:O89"/>
    <mergeCell ref="P89:U8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Омарова Айгуль Кабдолловна</cp:lastModifiedBy>
  <cp:lastPrinted>2020-04-14T11:12:46Z</cp:lastPrinted>
  <dcterms:created xsi:type="dcterms:W3CDTF">2009-02-25T04:19:22Z</dcterms:created>
  <dcterms:modified xsi:type="dcterms:W3CDTF">2020-04-14T11:12:54Z</dcterms:modified>
  <cp:category/>
  <cp:version/>
  <cp:contentType/>
  <cp:contentStatus/>
</cp:coreProperties>
</file>