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50" yWindow="-15" windowWidth="17265" windowHeight="12930"/>
  </bookViews>
  <sheets>
    <sheet name="по Прил.2 для размещения 1полуг" sheetId="7" r:id="rId1"/>
  </sheets>
  <externalReferences>
    <externalReference r:id="rId2"/>
    <externalReference r:id="rId3"/>
    <externalReference r:id="rId4"/>
  </externalReferences>
  <definedNames>
    <definedName name="а1" localSheetId="0">#REF!</definedName>
    <definedName name="а1">#REF!</definedName>
    <definedName name="_xlnm.Print_Titles" localSheetId="0">'по Прил.2 для размещения 1полуг'!$9:$11</definedName>
    <definedName name="_xlnm.Print_Area" localSheetId="0">'по Прил.2 для размещения 1полуг'!$A$1:$H$66</definedName>
  </definedNames>
  <calcPr calcId="145621"/>
</workbook>
</file>

<file path=xl/calcChain.xml><?xml version="1.0" encoding="utf-8"?>
<calcChain xmlns="http://schemas.openxmlformats.org/spreadsheetml/2006/main">
  <c r="E40" i="7" l="1"/>
  <c r="E32" i="7"/>
  <c r="G25" i="7" l="1"/>
  <c r="G27" i="7"/>
  <c r="E62" i="7"/>
  <c r="F62" i="7" s="1"/>
  <c r="F56" i="7"/>
  <c r="F55" i="7"/>
  <c r="F54" i="7"/>
  <c r="E54" i="7"/>
  <c r="E14" i="7" s="1"/>
  <c r="F53" i="7"/>
  <c r="F52" i="7"/>
  <c r="E51" i="7"/>
  <c r="F48" i="7"/>
  <c r="E48" i="7"/>
  <c r="F47" i="7"/>
  <c r="E47" i="7"/>
  <c r="F46" i="7"/>
  <c r="E46" i="7"/>
  <c r="F45" i="7"/>
  <c r="F44" i="7"/>
  <c r="E44" i="7"/>
  <c r="F43" i="7"/>
  <c r="E43" i="7"/>
  <c r="F42" i="7"/>
  <c r="E42" i="7"/>
  <c r="F41" i="7"/>
  <c r="E41" i="7"/>
  <c r="F40" i="7"/>
  <c r="F39" i="7"/>
  <c r="E39" i="7"/>
  <c r="F38" i="7"/>
  <c r="E38" i="7"/>
  <c r="F37" i="7"/>
  <c r="E37" i="7"/>
  <c r="F36" i="7"/>
  <c r="E36" i="7"/>
  <c r="F33" i="7"/>
  <c r="E33" i="7"/>
  <c r="F32" i="7"/>
  <c r="F31" i="7"/>
  <c r="E31" i="7"/>
  <c r="F28" i="7"/>
  <c r="E28" i="7"/>
  <c r="E26" i="7"/>
  <c r="F23" i="7"/>
  <c r="E23" i="7"/>
  <c r="F20" i="7"/>
  <c r="E20" i="7"/>
  <c r="E18" i="7" s="1"/>
  <c r="F15" i="7"/>
  <c r="F14" i="7"/>
  <c r="E15" i="7" l="1"/>
  <c r="G15" i="7" s="1"/>
  <c r="K60" i="7"/>
  <c r="G55" i="7"/>
  <c r="G32" i="7"/>
  <c r="F24" i="7"/>
  <c r="G24" i="7" s="1"/>
  <c r="E29" i="7"/>
  <c r="G40" i="7"/>
  <c r="E34" i="7"/>
  <c r="G37" i="7"/>
  <c r="E21" i="7"/>
  <c r="G33" i="7"/>
  <c r="G41" i="7"/>
  <c r="G43" i="7"/>
  <c r="L60" i="7"/>
  <c r="G39" i="7"/>
  <c r="G42" i="7"/>
  <c r="G44" i="7"/>
  <c r="G31" i="7"/>
  <c r="G36" i="7"/>
  <c r="G38" i="7"/>
  <c r="G54" i="7"/>
  <c r="F34" i="7"/>
  <c r="F13" i="7"/>
  <c r="G56" i="7"/>
  <c r="F29" i="7"/>
  <c r="G48" i="7"/>
  <c r="G20" i="7"/>
  <c r="G14" i="7"/>
  <c r="G47" i="7"/>
  <c r="G28" i="7"/>
  <c r="F26" i="7"/>
  <c r="G46" i="7"/>
  <c r="G23" i="7"/>
  <c r="F57" i="7"/>
  <c r="F18" i="7"/>
  <c r="E13" i="7" l="1"/>
  <c r="E12" i="7" s="1"/>
  <c r="G26" i="7"/>
  <c r="G29" i="7"/>
  <c r="G34" i="7"/>
  <c r="E16" i="7"/>
  <c r="E49" i="7" s="1"/>
  <c r="E53" i="7" s="1"/>
  <c r="G53" i="7" s="1"/>
  <c r="F12" i="7"/>
  <c r="F21" i="7"/>
  <c r="G18" i="7"/>
  <c r="E50" i="7" l="1"/>
  <c r="E52" i="7" s="1"/>
  <c r="E57" i="7" s="1"/>
  <c r="G12" i="7"/>
  <c r="G13" i="7"/>
  <c r="F16" i="7"/>
  <c r="G21" i="7"/>
  <c r="G52" i="7" l="1"/>
  <c r="G16" i="7"/>
  <c r="F50" i="7"/>
  <c r="F49" i="7"/>
  <c r="G50" i="7" l="1"/>
  <c r="F51" i="7"/>
  <c r="G49" i="7"/>
  <c r="G51" i="7" l="1"/>
</calcChain>
</file>

<file path=xl/sharedStrings.xml><?xml version="1.0" encoding="utf-8"?>
<sst xmlns="http://schemas.openxmlformats.org/spreadsheetml/2006/main" count="161" uniqueCount="115">
  <si>
    <t>№ п/п</t>
  </si>
  <si>
    <t>Наименование показателей*</t>
  </si>
  <si>
    <t>Единица измерения</t>
  </si>
  <si>
    <t>I</t>
  </si>
  <si>
    <t>Затраты на производство товаров и предоставление услуг, всего, в т.ч.</t>
  </si>
  <si>
    <t>тыс.тенге</t>
  </si>
  <si>
    <t>Материальные затраты, всего, в т.ч</t>
  </si>
  <si>
    <t>1.1</t>
  </si>
  <si>
    <t>Покупная энергия в горячей воде для централизованного теплоснабжения</t>
  </si>
  <si>
    <t xml:space="preserve"> -"-</t>
  </si>
  <si>
    <t>1.2</t>
  </si>
  <si>
    <t>Передача и распределение тепловой энергии</t>
  </si>
  <si>
    <t>2</t>
  </si>
  <si>
    <t>2.1</t>
  </si>
  <si>
    <t>3</t>
  </si>
  <si>
    <t>Амортизация</t>
  </si>
  <si>
    <t>4</t>
  </si>
  <si>
    <t>5</t>
  </si>
  <si>
    <t>II</t>
  </si>
  <si>
    <t>Расходы периода всего, в т.ч</t>
  </si>
  <si>
    <t>6</t>
  </si>
  <si>
    <t>Материалы на эксплуатацию</t>
  </si>
  <si>
    <t>в том числе</t>
  </si>
  <si>
    <t>Материалы по АСУ</t>
  </si>
  <si>
    <t>Затраты на оплату труда, всего</t>
  </si>
  <si>
    <t xml:space="preserve">Заработная плата персонала </t>
  </si>
  <si>
    <t>Социальный налог и социальное страхование</t>
  </si>
  <si>
    <t>Социальный налог и соц.страхование, исходя из ТС</t>
  </si>
  <si>
    <t xml:space="preserve">Услуги сторонних организаций </t>
  </si>
  <si>
    <t>Услуги по транспорту</t>
  </si>
  <si>
    <t>Техническое обслуживание компьютерной техники</t>
  </si>
  <si>
    <t xml:space="preserve">Техническое обслуживание ККМ </t>
  </si>
  <si>
    <t>Прочие услуги</t>
  </si>
  <si>
    <t>Услуги охраны</t>
  </si>
  <si>
    <t xml:space="preserve">Аренда помещения </t>
  </si>
  <si>
    <t xml:space="preserve">Услуги связи </t>
  </si>
  <si>
    <t>Услуги банка по инкассации</t>
  </si>
  <si>
    <t>Командировочные расходы</t>
  </si>
  <si>
    <t>Канцелярские и  почтово-телеграфные расходы</t>
  </si>
  <si>
    <t>Страхование работников</t>
  </si>
  <si>
    <t>Затраты по ТБ  и ОТ</t>
  </si>
  <si>
    <t>Информационные и регистраторские услуги</t>
  </si>
  <si>
    <t>Изготовление бланочной продукции</t>
  </si>
  <si>
    <t>Коммунальные услуги (электроэнергия)</t>
  </si>
  <si>
    <t>Проездные билеты</t>
  </si>
  <si>
    <t>Периодическая печать</t>
  </si>
  <si>
    <t>III</t>
  </si>
  <si>
    <t>IV</t>
  </si>
  <si>
    <t>тыс. тенге</t>
  </si>
  <si>
    <t>V</t>
  </si>
  <si>
    <t>VI</t>
  </si>
  <si>
    <t>Всего доходов</t>
  </si>
  <si>
    <t>VII</t>
  </si>
  <si>
    <t>тыс.Гкал.</t>
  </si>
  <si>
    <t>население</t>
  </si>
  <si>
    <t>VIII</t>
  </si>
  <si>
    <t>IX</t>
  </si>
  <si>
    <t>тенге/Гкал</t>
  </si>
  <si>
    <t>Генеральный директор</t>
  </si>
  <si>
    <t>Прибыль</t>
  </si>
  <si>
    <t>Всего затрат по снабженческой надбавке</t>
  </si>
  <si>
    <t xml:space="preserve">Всего затрат </t>
  </si>
  <si>
    <t>Всего доходов по снабженческой надбавке</t>
  </si>
  <si>
    <t>Полезный отпуск тепловой энергии</t>
  </si>
  <si>
    <t>прочие потребители</t>
  </si>
  <si>
    <t>Средний тариф без учета НДС</t>
  </si>
  <si>
    <t>тыс. тенге без НДС</t>
  </si>
  <si>
    <r>
      <t>Наименование субъекта   ТОО</t>
    </r>
    <r>
      <rPr>
        <b/>
        <u/>
        <sz val="12"/>
        <rFont val="Times New Roman"/>
        <family val="1"/>
        <charset val="204"/>
      </rPr>
      <t xml:space="preserve"> "Павлодарэнергосбыт"</t>
    </r>
  </si>
  <si>
    <t>Т.Г.Аргинов</t>
  </si>
  <si>
    <t>Инвестиционная составляющая (амортизация+ прибыль)</t>
  </si>
  <si>
    <t>3.1</t>
  </si>
  <si>
    <t>3.2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</si>
  <si>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</si>
  <si>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</si>
  <si>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</si>
  <si>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</si>
  <si>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</si>
  <si>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</si>
  <si>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</si>
  <si>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</si>
  <si>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</si>
  <si>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</si>
  <si>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</si>
  <si>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</si>
  <si>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</si>
  <si>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</si>
  <si>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</si>
  <si>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</si>
  <si>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3.1.1</t>
  </si>
  <si>
    <t>среднемесячная заработная плата</t>
  </si>
  <si>
    <t>численность</t>
  </si>
  <si>
    <t>3.1.2</t>
  </si>
  <si>
    <t>тенге/чел</t>
  </si>
  <si>
    <t>чел</t>
  </si>
  <si>
    <t>для физических лиц, относящихся к группе населения, имеющих общедомовые приборы учета тепловой энергии</t>
  </si>
  <si>
    <t>для физических лиц, относящихся к группе населения, не имеющих общедомовые приборы учета тепловой энергии</t>
  </si>
  <si>
    <t>для физических лиц, относящихся к группе населения, проживающих в ветхих, аврийных жилых помещениях, домах барачного типа, где отсутствует техническая возможность установки общедомовых приборов учета тепловой энергии</t>
  </si>
  <si>
    <t>Отчет об исполнении тарифной сметы на услуги по снабжению тепловой энергии г. Экибастуз</t>
  </si>
  <si>
    <t>отклонения в %</t>
  </si>
  <si>
    <t>Причины отклонения</t>
  </si>
  <si>
    <t>за счет снижения объемов потребления</t>
  </si>
  <si>
    <t>за счет фактически сложившейся  среднемесячной зарплаты (в утвержденной тарифной смете У.О.учтена в размере 48 875 тенге.</t>
  </si>
  <si>
    <t>За счет открытия дополнительного пункта приема платежей по ул.М.Жусупа 42, в утвержденной тарифной смете данные затраты  У.О. не были учтены</t>
  </si>
  <si>
    <t>за 1 полугодие 2015 года</t>
  </si>
  <si>
    <t>Приложение 2</t>
  </si>
  <si>
    <t>к Правилам утверждения тарифов</t>
  </si>
  <si>
    <t>(цен, ставок сборов) и тарифных смет</t>
  </si>
  <si>
    <t>на регулируемые услуги (товары, работы)</t>
  </si>
  <si>
    <t>За счет открытия дополнительного пункта приема платежей по ул.М.Жусупа 42, в утвержденной тарифной смете данные затраты  У.О. не  учтены</t>
  </si>
  <si>
    <t>За счет открытия дополнительного пункта приема платежей по ул.М.Жусупа 42, в утвержденной тарифной смете У.О. данные затраты не  учтены</t>
  </si>
  <si>
    <t>за счет увеличения тарифа на электроснабжение ТОО "Экибастузэнерго"</t>
  </si>
  <si>
    <t>За счет инкассации по пункту приема платежей по ул.М.Жусупа 42</t>
  </si>
  <si>
    <t xml:space="preserve"> выполнение мероприятий по комплексному плану программы энергосбережения Павлодарской области на 2012-2015 годы (оснащение приборами коммерческого учета).</t>
  </si>
  <si>
    <t>Фактически сложившиеся показатели тарифной сметы  за 1 полугодие 2015 года</t>
  </si>
  <si>
    <t>Предусмотрено в утвержденной тарифной смете  за 1 полугодие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</si>
</sst>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00"/>
    <numFmt numFmtId="167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Arial Cyr"/>
      <charset val="204"/>
    </font>
    <font>
      <b/>
      <sz val="14"/>
      <color theme="0"/>
      <name val="Times New Roman"/>
      <family val="1"/>
      <charset val="204"/>
    </font>
    <font>
      <b/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0" xfId="0" applyFont="1"/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0" fontId="8" fillId="0" borderId="0" xfId="0" applyNumberFormat="1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justify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1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0" xfId="0" applyBorder="1"/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 wrapText="1"/>
    </xf>
    <xf numFmtId="165" fontId="10" fillId="2" borderId="1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4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3" fontId="10" fillId="0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horizontal="right" vertical="center"/>
    </xf>
    <xf numFmtId="3" fontId="1" fillId="0" borderId="0" xfId="0" applyNumberFormat="1" applyFont="1"/>
    <xf numFmtId="3" fontId="2" fillId="2" borderId="1" xfId="1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5" fillId="2" borderId="1" xfId="0" applyFont="1" applyFill="1" applyBorder="1" applyAlignment="1">
      <alignment horizontal="center" vertical="top" wrapText="1"/>
    </xf>
    <xf numFmtId="3" fontId="2" fillId="2" borderId="1" xfId="1" applyNumberFormat="1" applyFont="1" applyFill="1" applyBorder="1" applyAlignment="1">
      <alignment horizontal="right" vertical="center"/>
    </xf>
    <xf numFmtId="3" fontId="10" fillId="2" borderId="1" xfId="1" applyNumberFormat="1" applyFont="1" applyFill="1" applyBorder="1" applyAlignment="1">
      <alignment horizontal="right" vertical="center" wrapText="1"/>
    </xf>
    <xf numFmtId="3" fontId="10" fillId="2" borderId="1" xfId="1" applyNumberFormat="1" applyFont="1" applyFill="1" applyBorder="1" applyAlignment="1">
      <alignment horizontal="right"/>
    </xf>
    <xf numFmtId="2" fontId="6" fillId="2" borderId="1" xfId="1" applyNumberFormat="1" applyFont="1" applyFill="1" applyBorder="1" applyAlignment="1">
      <alignment horizontal="right"/>
    </xf>
    <xf numFmtId="4" fontId="10" fillId="2" borderId="1" xfId="1" applyNumberFormat="1" applyFont="1" applyFill="1" applyBorder="1" applyAlignment="1">
      <alignment horizontal="right" vertical="center" wrapText="1"/>
    </xf>
    <xf numFmtId="164" fontId="15" fillId="2" borderId="1" xfId="1" applyNumberFormat="1" applyFont="1" applyFill="1" applyBorder="1" applyAlignment="1">
      <alignment horizontal="right" vertical="center" wrapText="1"/>
    </xf>
    <xf numFmtId="4" fontId="15" fillId="2" borderId="1" xfId="1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7" fontId="6" fillId="2" borderId="1" xfId="0" applyNumberFormat="1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2" fillId="2" borderId="1" xfId="0" applyFont="1" applyFill="1" applyBorder="1"/>
    <xf numFmtId="49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2" borderId="1" xfId="0" applyFont="1" applyFill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67" fontId="6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18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_Исполнение тарифной сметы за 2014 г. Экибастуз" xfId="1"/>
    <cellStyle name="Процентный 2" xfId="5"/>
    <cellStyle name="Финансовый 2" xfId="6"/>
    <cellStyle name="Финансовый 3" xfId="7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90;&#1072;&#1088;&#1080;&#1092;&#1085;&#1086;&#1081;%20&#1089;&#1084;&#1077;&#1090;&#1099;%20&#1079;&#1072;%202015%20&#1075;.%20&#1069;&#1082;&#1080;&#1073;&#1072;&#1089;&#1090;&#1091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yusenbaeva\&#1084;&#1086;&#1080;%20&#1076;&#1086;&#1082;&#1091;&#1084;&#1077;&#1085;&#1090;&#1099;\&#1050;&#1086;&#1085;&#1089;&#1086;&#1083;&#1080;&#1076;&#1080;&#1088;&#1086;&#1074;&#1072;&#1085;&#1085;&#1099;&#1081;%20&#1086;&#1090;&#1095;&#1077;&#1090;\2015&#1075;\2%20&#1074;&#1072;&#1088;%20221014&#1075;%20&#1089;%20&#1082;&#1086;&#1084;&#1087;&#1077;&#1085;&#1089;%20&#1063;&#1056;&#1052;\&#1048;&#1089;&#1087;&#1086;&#1083;&#1085;&#1077;&#1085;&#1080;&#1077;%20&#1073;&#1102;&#1076;&#1078;&#1077;&#1090;&#1072;%20&#1079;&#1072;%202015&#1075;\&#1060;&#1072;&#1082;&#1090;%20&#1076;&#1086;&#1093;&#1086;&#1076;&#1099;%20&#1080;%20&#1088;&#1072;&#1089;&#1093;&#1086;&#1076;&#1099;%20&#1087;&#1086;%20&#1090;&#1077;&#1087;&#1083;&#1091;%20&#1079;&#1072;%202015%20&#1075;&#1086;&#1076;%20&#1089;%2001.07.2015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yusenbaeva\&#1084;&#1086;&#1080;%20&#1076;&#1086;&#1082;&#1091;&#1084;&#1077;&#1085;&#1090;&#1099;\&#1050;&#1086;&#1085;&#1089;&#1086;&#1083;&#1080;&#1076;&#1080;&#1088;&#1086;&#1074;&#1072;&#1085;&#1085;&#1099;&#1081;%20&#1086;&#1090;&#1095;&#1077;&#1090;\2015&#1075;\2%20&#1074;&#1072;&#1088;%20221014&#1075;%20&#1089;%20&#1082;&#1086;&#1084;&#1087;&#1077;&#1085;&#1089;%20&#1063;&#1056;&#1052;\&#1048;&#1089;&#1087;&#1086;&#1083;&#1085;&#1077;&#1085;&#1080;&#1077;%20&#1073;&#1102;&#1076;&#1078;&#1077;&#1090;&#1072;%20&#1079;&#1072;%202015&#1075;\&#1060;&#1072;&#1082;&#1090;%20&#1076;&#1086;&#1093;&#1086;&#1076;&#1099;%20&#1080;%20&#1088;&#1072;&#1089;&#1093;&#1086;&#1076;&#1099;%20&#1087;&#1086;%20&#1090;&#1077;&#1087;&#1083;&#1091;%20&#1079;&#1072;%202015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 ТС с усред. план. "/>
      <sheetName val="Испол ТС полугодие для ИП"/>
    </sheetNames>
    <sheetDataSet>
      <sheetData sheetId="0"/>
      <sheetData sheetId="1">
        <row r="10">
          <cell r="AZ10">
            <v>842849.38718162</v>
          </cell>
        </row>
        <row r="11">
          <cell r="AZ11">
            <v>632006.78631368</v>
          </cell>
        </row>
        <row r="16">
          <cell r="AZ16">
            <v>1407.951</v>
          </cell>
        </row>
        <row r="19">
          <cell r="AZ19">
            <v>18960.358407989999</v>
          </cell>
        </row>
        <row r="22">
          <cell r="AZ22">
            <v>201.68615310000001</v>
          </cell>
        </row>
        <row r="25">
          <cell r="AZ25">
            <v>1224.1535200000001</v>
          </cell>
        </row>
        <row r="26">
          <cell r="AZ26">
            <v>14.401</v>
          </cell>
        </row>
        <row r="27">
          <cell r="AZ27">
            <v>33.492000000000004</v>
          </cell>
        </row>
        <row r="30">
          <cell r="AZ30">
            <v>1182.0724067799999</v>
          </cell>
        </row>
        <row r="31">
          <cell r="AZ31">
            <v>3656.4993837100001</v>
          </cell>
        </row>
        <row r="32">
          <cell r="AZ32">
            <v>273.30376846199999</v>
          </cell>
        </row>
        <row r="33">
          <cell r="AZ33">
            <v>1160.3499839999999</v>
          </cell>
        </row>
        <row r="34">
          <cell r="AZ34">
            <v>6.418000000000001</v>
          </cell>
        </row>
        <row r="35">
          <cell r="AZ35">
            <v>373.54515395999999</v>
          </cell>
        </row>
        <row r="36">
          <cell r="AZ36">
            <v>79.48763386200001</v>
          </cell>
        </row>
        <row r="37">
          <cell r="AZ37">
            <v>2.8486799999999999</v>
          </cell>
        </row>
        <row r="38">
          <cell r="AZ38">
            <v>15.5</v>
          </cell>
        </row>
        <row r="39">
          <cell r="AZ39">
            <v>0</v>
          </cell>
        </row>
        <row r="40">
          <cell r="AZ40">
            <v>194.63576848</v>
          </cell>
        </row>
        <row r="41">
          <cell r="AZ41">
            <v>178.85</v>
          </cell>
        </row>
        <row r="42">
          <cell r="AZ42">
            <v>8.9223800000000004</v>
          </cell>
        </row>
        <row r="46">
          <cell r="AZ46">
            <v>1570614.3279310002</v>
          </cell>
        </row>
        <row r="48">
          <cell r="AZ48">
            <v>528.34652599999993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.Павлодар продолж. 2015г."/>
      <sheetName val="г.Павлодар1"/>
      <sheetName val="г.Экибастуз"/>
      <sheetName val="г.Экибастуз продолж.2015г."/>
    </sheetNames>
    <sheetDataSet>
      <sheetData sheetId="0"/>
      <sheetData sheetId="1"/>
      <sheetData sheetId="2">
        <row r="104">
          <cell r="DW104">
            <v>60819.949735710106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.Павлодар продолж. 2015г."/>
      <sheetName val="г.Павлодар1"/>
      <sheetName val="г.Экибастуз"/>
      <sheetName val="г.Экибастуз продолж.2015г."/>
    </sheetNames>
    <sheetDataSet>
      <sheetData sheetId="0" refreshError="1"/>
      <sheetData sheetId="1" refreshError="1"/>
      <sheetData sheetId="2">
        <row r="9">
          <cell r="C9">
            <v>96.501955999999993</v>
          </cell>
          <cell r="DT9">
            <v>383.91334499999999</v>
          </cell>
        </row>
        <row r="27">
          <cell r="DT27">
            <v>144.432727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82"/>
  <sheetViews>
    <sheetView tabSelected="1" topLeftCell="B1" zoomScaleNormal="100" zoomScaleSheetLayoutView="87" workbookViewId="0">
      <selection activeCell="H65" sqref="H65"/>
    </sheetView>
  </sheetViews>
  <sheetFormatPr defaultRowHeight="12.75" x14ac:dyDescent="0.2"/>
  <cols>
    <col min="1" max="1" width="3.42578125" customWidth="1"/>
    <col min="2" max="2" width="10.28515625" style="28" customWidth="1"/>
    <col min="3" max="3" width="57" customWidth="1"/>
    <col min="4" max="4" width="15" customWidth="1"/>
    <col min="5" max="6" width="22.140625" customWidth="1"/>
    <col min="7" max="7" width="15" customWidth="1"/>
    <col min="8" max="8" width="50.28515625" customWidth="1"/>
  </cols>
  <sheetData>
    <row r="1" spans="2:10" ht="15.75" x14ac:dyDescent="0.25">
      <c r="H1" s="33" t="s">
        <v>104</v>
      </c>
    </row>
    <row r="2" spans="2:10" ht="15.75" x14ac:dyDescent="0.25">
      <c r="H2" s="33" t="s">
        <v>105</v>
      </c>
    </row>
    <row r="3" spans="2:10" ht="15.75" x14ac:dyDescent="0.25">
      <c r="H3" s="33" t="s">
        <v>106</v>
      </c>
    </row>
    <row r="4" spans="2:10" ht="15.75" x14ac:dyDescent="0.25">
      <c r="H4" s="33" t="s">
        <v>107</v>
      </c>
    </row>
    <row r="5" spans="2:10" ht="15.75" x14ac:dyDescent="0.25">
      <c r="B5" s="87" t="s">
        <v>67</v>
      </c>
      <c r="C5" s="88"/>
      <c r="D5" s="88"/>
      <c r="E5" s="88"/>
      <c r="F5" s="88"/>
    </row>
    <row r="6" spans="2:10" ht="20.25" customHeight="1" x14ac:dyDescent="0.25">
      <c r="B6" s="89" t="s">
        <v>97</v>
      </c>
      <c r="C6" s="90"/>
      <c r="D6" s="90"/>
      <c r="E6" s="90"/>
      <c r="F6" s="90"/>
    </row>
    <row r="7" spans="2:10" ht="13.5" x14ac:dyDescent="0.25">
      <c r="B7" s="2"/>
      <c r="C7" s="1"/>
      <c r="D7" s="95" t="s">
        <v>103</v>
      </c>
      <c r="E7" s="96"/>
      <c r="F7" s="1"/>
    </row>
    <row r="8" spans="2:10" ht="15.75" x14ac:dyDescent="0.25">
      <c r="E8" s="50">
        <v>1207.1600000000001</v>
      </c>
      <c r="H8" s="33" t="s">
        <v>66</v>
      </c>
    </row>
    <row r="9" spans="2:10" ht="15" customHeight="1" x14ac:dyDescent="0.2">
      <c r="B9" s="91" t="s">
        <v>0</v>
      </c>
      <c r="C9" s="93" t="s">
        <v>1</v>
      </c>
      <c r="D9" s="93" t="s">
        <v>2</v>
      </c>
      <c r="E9" s="85" t="s">
        <v>114</v>
      </c>
      <c r="F9" s="85" t="s">
        <v>113</v>
      </c>
      <c r="G9" s="85" t="s">
        <v>98</v>
      </c>
      <c r="H9" s="85" t="s">
        <v>99</v>
      </c>
    </row>
    <row r="10" spans="2:10" ht="60.75" customHeight="1" x14ac:dyDescent="0.2">
      <c r="B10" s="92"/>
      <c r="C10" s="94"/>
      <c r="D10" s="94"/>
      <c r="E10" s="86"/>
      <c r="F10" s="86"/>
      <c r="G10" s="86"/>
      <c r="H10" s="86"/>
    </row>
    <row r="11" spans="2:10" ht="15" x14ac:dyDescent="0.2">
      <c r="B11" s="3">
        <v>1</v>
      </c>
      <c r="C11" s="4">
        <v>2</v>
      </c>
      <c r="D11" s="4">
        <v>3</v>
      </c>
      <c r="E11" s="53">
        <v>4</v>
      </c>
      <c r="F11" s="53">
        <v>5</v>
      </c>
      <c r="G11" s="81">
        <v>6</v>
      </c>
      <c r="H11" s="81">
        <v>7</v>
      </c>
    </row>
    <row r="12" spans="2:10" s="1" customFormat="1" ht="31.5" customHeight="1" x14ac:dyDescent="0.25">
      <c r="B12" s="5" t="s">
        <v>3</v>
      </c>
      <c r="C12" s="6" t="s">
        <v>4</v>
      </c>
      <c r="D12" s="7" t="s">
        <v>5</v>
      </c>
      <c r="E12" s="48">
        <f>E13</f>
        <v>1537483.92628</v>
      </c>
      <c r="F12" s="48">
        <f t="shared" ref="F12" si="0">F13</f>
        <v>1474856.1734953001</v>
      </c>
      <c r="G12" s="63">
        <f>F12/E12*100%-100%</f>
        <v>-4.0733923596996569E-2</v>
      </c>
      <c r="H12" s="64"/>
      <c r="I12" s="47"/>
    </row>
    <row r="13" spans="2:10" s="9" customFormat="1" ht="15.75" x14ac:dyDescent="0.25">
      <c r="B13" s="8">
        <v>1</v>
      </c>
      <c r="C13" s="6" t="s">
        <v>6</v>
      </c>
      <c r="D13" s="8" t="s">
        <v>5</v>
      </c>
      <c r="E13" s="48">
        <f t="shared" ref="E13:F13" si="1">E14+E15</f>
        <v>1537483.92628</v>
      </c>
      <c r="F13" s="48">
        <f t="shared" si="1"/>
        <v>1474856.1734953001</v>
      </c>
      <c r="G13" s="63">
        <f>F13/E13*100%-100%</f>
        <v>-4.0733923596996569E-2</v>
      </c>
      <c r="H13" s="64"/>
      <c r="I13" s="47"/>
    </row>
    <row r="14" spans="2:10" s="1" customFormat="1" ht="27.75" customHeight="1" x14ac:dyDescent="0.2">
      <c r="B14" s="67" t="s">
        <v>7</v>
      </c>
      <c r="C14" s="19" t="s">
        <v>8</v>
      </c>
      <c r="D14" s="68" t="s">
        <v>9</v>
      </c>
      <c r="E14" s="46">
        <f>E54*1660.82</f>
        <v>890342.35051999998</v>
      </c>
      <c r="F14" s="46">
        <f>'[1]Испол ТС полугодие для ИП'!$AZ$10</f>
        <v>842849.38718162</v>
      </c>
      <c r="G14" s="69">
        <f>F14/E14*100%-100%</f>
        <v>-5.3342361295789176E-2</v>
      </c>
      <c r="H14" s="79" t="s">
        <v>100</v>
      </c>
      <c r="I14" s="47"/>
    </row>
    <row r="15" spans="2:10" s="1" customFormat="1" ht="15.75" x14ac:dyDescent="0.25">
      <c r="B15" s="10" t="s">
        <v>10</v>
      </c>
      <c r="C15" s="11" t="s">
        <v>11</v>
      </c>
      <c r="D15" s="12" t="s">
        <v>9</v>
      </c>
      <c r="E15" s="45">
        <f>E54*E8</f>
        <v>647141.57576000004</v>
      </c>
      <c r="F15" s="45">
        <f>'[1]Испол ТС полугодие для ИП'!$AZ$11</f>
        <v>632006.78631368</v>
      </c>
      <c r="G15" s="63">
        <f>F15/E15*100%-100%</f>
        <v>-2.3387138167634824E-2</v>
      </c>
      <c r="H15" s="70"/>
      <c r="I15" s="47"/>
    </row>
    <row r="16" spans="2:10" s="1" customFormat="1" ht="15.75" x14ac:dyDescent="0.25">
      <c r="B16" s="13" t="s">
        <v>18</v>
      </c>
      <c r="C16" s="14" t="s">
        <v>19</v>
      </c>
      <c r="D16" s="8" t="s">
        <v>9</v>
      </c>
      <c r="E16" s="54">
        <f t="shared" ref="E16:F16" si="2">E34+E28+E21+E18+E29</f>
        <v>24442.5</v>
      </c>
      <c r="F16" s="54">
        <f t="shared" si="2"/>
        <v>27175.1146652229</v>
      </c>
      <c r="G16" s="63">
        <f>F16/E16*100%-100%</f>
        <v>0.11179767475597413</v>
      </c>
      <c r="H16" s="64"/>
      <c r="I16" s="47"/>
      <c r="J16" s="15"/>
    </row>
    <row r="17" spans="2:10" s="1" customFormat="1" ht="15.75" x14ac:dyDescent="0.25">
      <c r="B17" s="13"/>
      <c r="C17" s="17" t="s">
        <v>22</v>
      </c>
      <c r="D17" s="8"/>
      <c r="E17" s="54"/>
      <c r="F17" s="54"/>
      <c r="G17" s="63"/>
      <c r="H17" s="64"/>
      <c r="I17" s="47"/>
      <c r="J17" s="15"/>
    </row>
    <row r="18" spans="2:10" s="1" customFormat="1" ht="15.75" x14ac:dyDescent="0.25">
      <c r="B18" s="83" t="s">
        <v>12</v>
      </c>
      <c r="C18" s="14" t="s">
        <v>21</v>
      </c>
      <c r="D18" s="12" t="s">
        <v>9</v>
      </c>
      <c r="E18" s="54">
        <f>E20</f>
        <v>1291.5</v>
      </c>
      <c r="F18" s="54">
        <f t="shared" ref="F18" si="3">F20</f>
        <v>1407.951</v>
      </c>
      <c r="G18" s="63">
        <f>F18/E18*100%-100%</f>
        <v>9.016724738675963E-2</v>
      </c>
      <c r="H18" s="64"/>
      <c r="I18" s="47"/>
    </row>
    <row r="19" spans="2:10" s="1" customFormat="1" ht="15.75" x14ac:dyDescent="0.25">
      <c r="B19" s="84"/>
      <c r="C19" s="17" t="s">
        <v>22</v>
      </c>
      <c r="D19" s="12" t="s">
        <v>9</v>
      </c>
      <c r="E19" s="54"/>
      <c r="F19" s="54"/>
      <c r="G19" s="63"/>
      <c r="H19" s="64"/>
      <c r="I19" s="47"/>
    </row>
    <row r="20" spans="2:10" s="1" customFormat="1" ht="15.75" x14ac:dyDescent="0.25">
      <c r="B20" s="13" t="s">
        <v>13</v>
      </c>
      <c r="C20" s="18" t="s">
        <v>23</v>
      </c>
      <c r="D20" s="12" t="s">
        <v>9</v>
      </c>
      <c r="E20" s="46">
        <f>2583/2</f>
        <v>1291.5</v>
      </c>
      <c r="F20" s="46">
        <f>'[1]Испол ТС полугодие для ИП'!$AZ$16</f>
        <v>1407.951</v>
      </c>
      <c r="G20" s="63">
        <f>F20/E20*100%-100%</f>
        <v>9.016724738675963E-2</v>
      </c>
      <c r="H20" s="64"/>
      <c r="I20" s="47"/>
    </row>
    <row r="21" spans="2:10" s="1" customFormat="1" ht="63" x14ac:dyDescent="0.2">
      <c r="B21" s="83" t="s">
        <v>14</v>
      </c>
      <c r="C21" s="80" t="s">
        <v>24</v>
      </c>
      <c r="D21" s="62" t="s">
        <v>9</v>
      </c>
      <c r="E21" s="54">
        <f>E23+E26</f>
        <v>15983</v>
      </c>
      <c r="F21" s="54">
        <f t="shared" ref="F21" si="4">F23+F26</f>
        <v>17160.997832868899</v>
      </c>
      <c r="G21" s="78">
        <f>F21/E21*100%-100%</f>
        <v>7.3703174176869224E-2</v>
      </c>
      <c r="H21" s="11" t="s">
        <v>101</v>
      </c>
      <c r="I21" s="47"/>
    </row>
    <row r="22" spans="2:10" s="1" customFormat="1" ht="15.75" x14ac:dyDescent="0.25">
      <c r="B22" s="84"/>
      <c r="C22" s="17" t="s">
        <v>22</v>
      </c>
      <c r="D22" s="12" t="s">
        <v>9</v>
      </c>
      <c r="E22" s="46"/>
      <c r="F22" s="46"/>
      <c r="G22" s="63"/>
      <c r="H22" s="51"/>
      <c r="I22" s="47"/>
    </row>
    <row r="23" spans="2:10" s="1" customFormat="1" ht="20.25" customHeight="1" x14ac:dyDescent="0.25">
      <c r="B23" s="10" t="s">
        <v>70</v>
      </c>
      <c r="C23" s="19" t="s">
        <v>25</v>
      </c>
      <c r="D23" s="12" t="s">
        <v>9</v>
      </c>
      <c r="E23" s="45">
        <f>29327/2</f>
        <v>14663.5</v>
      </c>
      <c r="F23" s="45">
        <f>'[1]Испол ТС полугодие для ИП'!$AZ$19-3500</f>
        <v>15460.358407989999</v>
      </c>
      <c r="G23" s="63">
        <f t="shared" ref="G23:G29" si="5">F23/E23*100%-100%</f>
        <v>5.4342988235414502E-2</v>
      </c>
      <c r="H23" s="51"/>
      <c r="I23" s="47"/>
    </row>
    <row r="24" spans="2:10" s="1" customFormat="1" ht="20.25" customHeight="1" x14ac:dyDescent="0.25">
      <c r="B24" s="10" t="s">
        <v>88</v>
      </c>
      <c r="C24" s="42" t="s">
        <v>89</v>
      </c>
      <c r="D24" s="12" t="s">
        <v>92</v>
      </c>
      <c r="E24" s="45">
        <v>48875</v>
      </c>
      <c r="F24" s="45">
        <f>(F23*1000)/6/50</f>
        <v>51534.528026633328</v>
      </c>
      <c r="G24" s="63">
        <f t="shared" si="5"/>
        <v>5.4414895685592324E-2</v>
      </c>
      <c r="H24" s="51"/>
      <c r="I24" s="47"/>
    </row>
    <row r="25" spans="2:10" s="1" customFormat="1" ht="15.75" x14ac:dyDescent="0.25">
      <c r="B25" s="10" t="s">
        <v>91</v>
      </c>
      <c r="C25" s="42" t="s">
        <v>90</v>
      </c>
      <c r="D25" s="20" t="s">
        <v>93</v>
      </c>
      <c r="E25" s="45">
        <v>50</v>
      </c>
      <c r="F25" s="45">
        <v>50</v>
      </c>
      <c r="G25" s="63">
        <f t="shared" si="5"/>
        <v>0</v>
      </c>
      <c r="H25" s="51"/>
      <c r="I25" s="47"/>
    </row>
    <row r="26" spans="2:10" s="1" customFormat="1" ht="15.75" x14ac:dyDescent="0.25">
      <c r="B26" s="10" t="s">
        <v>71</v>
      </c>
      <c r="C26" s="17" t="s">
        <v>26</v>
      </c>
      <c r="D26" s="12" t="s">
        <v>48</v>
      </c>
      <c r="E26" s="46">
        <f>2639/2</f>
        <v>1319.5</v>
      </c>
      <c r="F26" s="46">
        <f>F23*0.11</f>
        <v>1700.6394248788999</v>
      </c>
      <c r="G26" s="63">
        <f t="shared" si="5"/>
        <v>0.28885140195445236</v>
      </c>
      <c r="H26" s="74"/>
      <c r="I26" s="47"/>
    </row>
    <row r="27" spans="2:10" s="1" customFormat="1" ht="15.75" hidden="1" customHeight="1" x14ac:dyDescent="0.25">
      <c r="B27" s="10"/>
      <c r="C27" s="17" t="s">
        <v>27</v>
      </c>
      <c r="D27" s="12"/>
      <c r="E27" s="46"/>
      <c r="F27" s="46"/>
      <c r="G27" s="63" t="e">
        <f t="shared" si="5"/>
        <v>#DIV/0!</v>
      </c>
      <c r="H27" s="52"/>
      <c r="I27" s="47"/>
    </row>
    <row r="28" spans="2:10" s="1" customFormat="1" ht="15.75" x14ac:dyDescent="0.25">
      <c r="B28" s="13" t="s">
        <v>16</v>
      </c>
      <c r="C28" s="6" t="s">
        <v>15</v>
      </c>
      <c r="D28" s="12" t="s">
        <v>9</v>
      </c>
      <c r="E28" s="54">
        <f>476/2</f>
        <v>238</v>
      </c>
      <c r="F28" s="54">
        <f>'[1]Испол ТС полугодие для ИП'!$AZ$22</f>
        <v>201.68615310000001</v>
      </c>
      <c r="G28" s="63">
        <f t="shared" si="5"/>
        <v>-0.15257918865546216</v>
      </c>
      <c r="H28" s="52"/>
      <c r="I28" s="47"/>
    </row>
    <row r="29" spans="2:10" s="1" customFormat="1" ht="15.75" x14ac:dyDescent="0.25">
      <c r="B29" s="83" t="s">
        <v>17</v>
      </c>
      <c r="C29" s="14" t="s">
        <v>28</v>
      </c>
      <c r="D29" s="12" t="s">
        <v>9</v>
      </c>
      <c r="E29" s="54">
        <f t="shared" ref="E29:F29" si="6">E31+E32+E33</f>
        <v>1015.5</v>
      </c>
      <c r="F29" s="54">
        <f t="shared" si="6"/>
        <v>1272.0465200000001</v>
      </c>
      <c r="G29" s="63">
        <f t="shared" si="5"/>
        <v>0.25263074347612013</v>
      </c>
      <c r="H29" s="75"/>
      <c r="I29" s="47"/>
    </row>
    <row r="30" spans="2:10" s="1" customFormat="1" ht="15.75" x14ac:dyDescent="0.25">
      <c r="B30" s="84"/>
      <c r="C30" s="17" t="s">
        <v>22</v>
      </c>
      <c r="D30" s="12"/>
      <c r="E30" s="46"/>
      <c r="F30" s="46"/>
      <c r="G30" s="63"/>
      <c r="H30" s="75"/>
      <c r="I30" s="47"/>
    </row>
    <row r="31" spans="2:10" s="1" customFormat="1" ht="68.25" customHeight="1" x14ac:dyDescent="0.2">
      <c r="B31" s="61" t="s">
        <v>72</v>
      </c>
      <c r="C31" s="77" t="s">
        <v>29</v>
      </c>
      <c r="D31" s="62" t="s">
        <v>9</v>
      </c>
      <c r="E31" s="46">
        <f>1967/2</f>
        <v>983.5</v>
      </c>
      <c r="F31" s="46">
        <f>'[1]Испол ТС полугодие для ИП'!$AZ$25</f>
        <v>1224.1535200000001</v>
      </c>
      <c r="G31" s="69">
        <f>F31/E31*100%-100%</f>
        <v>0.24469092018301986</v>
      </c>
      <c r="H31" s="76" t="s">
        <v>102</v>
      </c>
      <c r="I31" s="47"/>
    </row>
    <row r="32" spans="2:10" s="1" customFormat="1" ht="33.75" customHeight="1" x14ac:dyDescent="0.2">
      <c r="B32" s="61" t="s">
        <v>73</v>
      </c>
      <c r="C32" s="19" t="s">
        <v>30</v>
      </c>
      <c r="D32" s="68" t="s">
        <v>9</v>
      </c>
      <c r="E32" s="46">
        <f>94/2-33</f>
        <v>14</v>
      </c>
      <c r="F32" s="46">
        <f>'[1]Испол ТС полугодие для ИП'!$AZ$26</f>
        <v>14.401</v>
      </c>
      <c r="G32" s="69">
        <f>F32/E32*100%-100%</f>
        <v>2.8642857142857192E-2</v>
      </c>
      <c r="H32" s="51"/>
      <c r="I32" s="47"/>
    </row>
    <row r="33" spans="2:9" s="1" customFormat="1" ht="61.5" customHeight="1" x14ac:dyDescent="0.2">
      <c r="B33" s="61" t="s">
        <v>74</v>
      </c>
      <c r="C33" s="16" t="s">
        <v>31</v>
      </c>
      <c r="D33" s="62" t="s">
        <v>9</v>
      </c>
      <c r="E33" s="46">
        <f>36/2</f>
        <v>18</v>
      </c>
      <c r="F33" s="46">
        <f>'[1]Испол ТС полугодие для ИП'!$AZ$27</f>
        <v>33.492000000000004</v>
      </c>
      <c r="G33" s="78">
        <f>F33/E33*100%-100%</f>
        <v>0.86066666666666691</v>
      </c>
      <c r="H33" s="76" t="s">
        <v>108</v>
      </c>
      <c r="I33" s="47"/>
    </row>
    <row r="34" spans="2:9" s="1" customFormat="1" ht="15.75" x14ac:dyDescent="0.25">
      <c r="B34" s="83" t="s">
        <v>20</v>
      </c>
      <c r="C34" s="21" t="s">
        <v>32</v>
      </c>
      <c r="D34" s="8"/>
      <c r="E34" s="48">
        <f>SUM(E36:E48)</f>
        <v>5914.5</v>
      </c>
      <c r="F34" s="48">
        <f t="shared" ref="F34" si="7">SUM(F36:F48)</f>
        <v>7132.4331592540002</v>
      </c>
      <c r="G34" s="63">
        <f>F34/E34*100%-100%</f>
        <v>0.20592326642218284</v>
      </c>
      <c r="I34" s="47"/>
    </row>
    <row r="35" spans="2:9" s="1" customFormat="1" ht="15.75" x14ac:dyDescent="0.25">
      <c r="B35" s="84"/>
      <c r="C35" s="17" t="s">
        <v>22</v>
      </c>
      <c r="D35" s="12"/>
      <c r="E35" s="45"/>
      <c r="F35" s="45"/>
      <c r="G35" s="63"/>
      <c r="H35" s="71"/>
      <c r="I35" s="47"/>
    </row>
    <row r="36" spans="2:9" s="1" customFormat="1" ht="63" x14ac:dyDescent="0.25">
      <c r="B36" s="61" t="s">
        <v>75</v>
      </c>
      <c r="C36" s="16" t="s">
        <v>33</v>
      </c>
      <c r="D36" s="12" t="s">
        <v>9</v>
      </c>
      <c r="E36" s="46">
        <f>1377/2</f>
        <v>688.5</v>
      </c>
      <c r="F36" s="46">
        <f>'[1]Испол ТС полугодие для ИП'!$AZ$30</f>
        <v>1182.0724067799999</v>
      </c>
      <c r="G36" s="78">
        <f t="shared" ref="G36:G44" si="8">F36/E36*100%-100%</f>
        <v>0.71688076511256349</v>
      </c>
      <c r="H36" s="71" t="s">
        <v>109</v>
      </c>
      <c r="I36" s="47"/>
    </row>
    <row r="37" spans="2:9" s="1" customFormat="1" ht="57" customHeight="1" x14ac:dyDescent="0.2">
      <c r="B37" s="61" t="s">
        <v>76</v>
      </c>
      <c r="C37" s="16" t="s">
        <v>34</v>
      </c>
      <c r="D37" s="62" t="s">
        <v>9</v>
      </c>
      <c r="E37" s="46">
        <f>6541/2</f>
        <v>3270.5</v>
      </c>
      <c r="F37" s="46">
        <f>'[1]Испол ТС полугодие для ИП'!$AZ$31</f>
        <v>3656.4993837100001</v>
      </c>
      <c r="G37" s="78">
        <f t="shared" si="8"/>
        <v>0.11802457841614444</v>
      </c>
      <c r="H37" s="71" t="s">
        <v>109</v>
      </c>
      <c r="I37" s="47"/>
    </row>
    <row r="38" spans="2:9" s="1" customFormat="1" ht="15.75" x14ac:dyDescent="0.25">
      <c r="B38" s="10" t="s">
        <v>77</v>
      </c>
      <c r="C38" s="16" t="s">
        <v>35</v>
      </c>
      <c r="D38" s="12" t="s">
        <v>9</v>
      </c>
      <c r="E38" s="45">
        <f>530/2</f>
        <v>265</v>
      </c>
      <c r="F38" s="45">
        <f>'[1]Испол ТС полугодие для ИП'!$AZ$32</f>
        <v>273.30376846199999</v>
      </c>
      <c r="G38" s="63">
        <f t="shared" si="8"/>
        <v>3.1334975328301873E-2</v>
      </c>
      <c r="H38" s="51"/>
      <c r="I38" s="47"/>
    </row>
    <row r="39" spans="2:9" s="1" customFormat="1" ht="31.5" x14ac:dyDescent="0.25">
      <c r="B39" s="61" t="s">
        <v>78</v>
      </c>
      <c r="C39" s="16" t="s">
        <v>36</v>
      </c>
      <c r="D39" s="12" t="s">
        <v>9</v>
      </c>
      <c r="E39" s="45">
        <f>1404/2</f>
        <v>702</v>
      </c>
      <c r="F39" s="45">
        <f>'[1]Испол ТС полугодие для ИП'!$AZ$33</f>
        <v>1160.3499839999999</v>
      </c>
      <c r="G39" s="63">
        <f t="shared" si="8"/>
        <v>0.65292020512820503</v>
      </c>
      <c r="H39" s="71" t="s">
        <v>111</v>
      </c>
      <c r="I39" s="47"/>
    </row>
    <row r="40" spans="2:9" s="1" customFormat="1" ht="15.75" x14ac:dyDescent="0.25">
      <c r="B40" s="10" t="s">
        <v>79</v>
      </c>
      <c r="C40" s="16" t="s">
        <v>37</v>
      </c>
      <c r="D40" s="12" t="s">
        <v>9</v>
      </c>
      <c r="E40" s="45">
        <f>16/2-1</f>
        <v>7</v>
      </c>
      <c r="F40" s="45">
        <f>'[1]Испол ТС полугодие для ИП'!$AZ$34</f>
        <v>6.418000000000001</v>
      </c>
      <c r="G40" s="63">
        <f t="shared" si="8"/>
        <v>-8.3142857142856963E-2</v>
      </c>
      <c r="H40" s="51"/>
      <c r="I40" s="47"/>
    </row>
    <row r="41" spans="2:9" s="1" customFormat="1" ht="33" customHeight="1" x14ac:dyDescent="0.25">
      <c r="B41" s="10" t="s">
        <v>80</v>
      </c>
      <c r="C41" s="16" t="s">
        <v>38</v>
      </c>
      <c r="D41" s="12" t="s">
        <v>9</v>
      </c>
      <c r="E41" s="45">
        <f>891/2-30</f>
        <v>415.5</v>
      </c>
      <c r="F41" s="45">
        <f>'[1]Испол ТС полугодие для ИП'!$AZ$35</f>
        <v>373.54515395999999</v>
      </c>
      <c r="G41" s="63">
        <f t="shared" si="8"/>
        <v>-0.10097435870036098</v>
      </c>
      <c r="H41" s="51"/>
      <c r="I41" s="47"/>
    </row>
    <row r="42" spans="2:9" s="1" customFormat="1" ht="15.75" x14ac:dyDescent="0.25">
      <c r="B42" s="10" t="s">
        <v>81</v>
      </c>
      <c r="C42" s="16" t="s">
        <v>39</v>
      </c>
      <c r="D42" s="12" t="s">
        <v>9</v>
      </c>
      <c r="E42" s="45">
        <f>160/2</f>
        <v>80</v>
      </c>
      <c r="F42" s="45">
        <f>'[1]Испол ТС полугодие для ИП'!$AZ$36</f>
        <v>79.48763386200001</v>
      </c>
      <c r="G42" s="63">
        <f t="shared" si="8"/>
        <v>-6.4045767249998331E-3</v>
      </c>
      <c r="H42" s="51"/>
      <c r="I42" s="47"/>
    </row>
    <row r="43" spans="2:9" s="1" customFormat="1" ht="15.75" x14ac:dyDescent="0.25">
      <c r="B43" s="10" t="s">
        <v>82</v>
      </c>
      <c r="C43" s="16" t="s">
        <v>40</v>
      </c>
      <c r="D43" s="12" t="s">
        <v>9</v>
      </c>
      <c r="E43" s="45">
        <f>45/2-20</f>
        <v>2.5</v>
      </c>
      <c r="F43" s="45">
        <f>'[1]Испол ТС полугодие для ИП'!$AZ$37</f>
        <v>2.8486799999999999</v>
      </c>
      <c r="G43" s="63">
        <f t="shared" si="8"/>
        <v>0.13947200000000004</v>
      </c>
      <c r="H43" s="51"/>
      <c r="I43" s="47"/>
    </row>
    <row r="44" spans="2:9" s="1" customFormat="1" ht="15.75" x14ac:dyDescent="0.25">
      <c r="B44" s="10" t="s">
        <v>83</v>
      </c>
      <c r="C44" s="16" t="s">
        <v>41</v>
      </c>
      <c r="D44" s="12" t="s">
        <v>9</v>
      </c>
      <c r="E44" s="45">
        <f>428/2-60</f>
        <v>154</v>
      </c>
      <c r="F44" s="45">
        <f>'[1]Испол ТС полугодие для ИП'!$AZ$38</f>
        <v>15.5</v>
      </c>
      <c r="G44" s="63">
        <f t="shared" si="8"/>
        <v>-0.89935064935064934</v>
      </c>
      <c r="H44" s="51"/>
      <c r="I44" s="47"/>
    </row>
    <row r="45" spans="2:9" s="1" customFormat="1" ht="15.75" x14ac:dyDescent="0.25">
      <c r="B45" s="10" t="s">
        <v>84</v>
      </c>
      <c r="C45" s="16" t="s">
        <v>42</v>
      </c>
      <c r="D45" s="12" t="s">
        <v>9</v>
      </c>
      <c r="E45" s="45">
        <v>0</v>
      </c>
      <c r="F45" s="45">
        <f>'[1]Испол ТС полугодие для ИП'!$AZ$39</f>
        <v>0</v>
      </c>
      <c r="G45" s="63">
        <v>0</v>
      </c>
      <c r="H45" s="51"/>
      <c r="I45" s="47"/>
    </row>
    <row r="46" spans="2:9" s="1" customFormat="1" ht="30.75" customHeight="1" x14ac:dyDescent="0.25">
      <c r="B46" s="61" t="s">
        <v>85</v>
      </c>
      <c r="C46" s="16" t="s">
        <v>43</v>
      </c>
      <c r="D46" s="12" t="s">
        <v>9</v>
      </c>
      <c r="E46" s="45">
        <f>266/2</f>
        <v>133</v>
      </c>
      <c r="F46" s="45">
        <f>'[1]Испол ТС полугодие для ИП'!$AZ$40</f>
        <v>194.63576848</v>
      </c>
      <c r="G46" s="63">
        <f t="shared" ref="G46:G56" si="9">F46/E46*100%-100%</f>
        <v>0.46342683067669177</v>
      </c>
      <c r="H46" s="72" t="s">
        <v>110</v>
      </c>
      <c r="I46" s="47"/>
    </row>
    <row r="47" spans="2:9" s="1" customFormat="1" ht="15.75" x14ac:dyDescent="0.25">
      <c r="B47" s="10" t="s">
        <v>86</v>
      </c>
      <c r="C47" s="16" t="s">
        <v>44</v>
      </c>
      <c r="D47" s="12" t="s">
        <v>9</v>
      </c>
      <c r="E47" s="45">
        <f>374/2</f>
        <v>187</v>
      </c>
      <c r="F47" s="45">
        <f>'[1]Испол ТС полугодие для ИП'!$AZ$41</f>
        <v>178.85</v>
      </c>
      <c r="G47" s="63">
        <f t="shared" si="9"/>
        <v>-4.3582887700534756E-2</v>
      </c>
      <c r="H47" s="51"/>
      <c r="I47" s="47"/>
    </row>
    <row r="48" spans="2:9" s="1" customFormat="1" ht="15.75" x14ac:dyDescent="0.25">
      <c r="B48" s="10" t="s">
        <v>87</v>
      </c>
      <c r="C48" s="16" t="s">
        <v>45</v>
      </c>
      <c r="D48" s="12" t="s">
        <v>9</v>
      </c>
      <c r="E48" s="45">
        <f>19/2</f>
        <v>9.5</v>
      </c>
      <c r="F48" s="45">
        <f>'[1]Испол ТС полугодие для ИП'!$AZ$42</f>
        <v>8.9223800000000004</v>
      </c>
      <c r="G48" s="63">
        <f t="shared" si="9"/>
        <v>-6.080210526315788E-2</v>
      </c>
      <c r="H48" s="51"/>
      <c r="I48" s="47"/>
    </row>
    <row r="49" spans="2:12" s="1" customFormat="1" ht="15.75" x14ac:dyDescent="0.25">
      <c r="B49" s="13" t="s">
        <v>18</v>
      </c>
      <c r="C49" s="6" t="s">
        <v>60</v>
      </c>
      <c r="D49" s="12" t="s">
        <v>9</v>
      </c>
      <c r="E49" s="48">
        <f t="shared" ref="E49:F49" si="10">E16</f>
        <v>24442.5</v>
      </c>
      <c r="F49" s="48">
        <f t="shared" si="10"/>
        <v>27175.1146652229</v>
      </c>
      <c r="G49" s="63">
        <f t="shared" si="9"/>
        <v>0.11179767475597413</v>
      </c>
      <c r="H49" s="11"/>
      <c r="I49" s="47"/>
    </row>
    <row r="50" spans="2:12" s="1" customFormat="1" ht="15.75" x14ac:dyDescent="0.25">
      <c r="B50" s="13" t="s">
        <v>46</v>
      </c>
      <c r="C50" s="6" t="s">
        <v>61</v>
      </c>
      <c r="D50" s="22"/>
      <c r="E50" s="48">
        <f>E12+E49</f>
        <v>1561926.42628</v>
      </c>
      <c r="F50" s="55">
        <f>F16+F12</f>
        <v>1502031.2881605229</v>
      </c>
      <c r="G50" s="63">
        <f t="shared" si="9"/>
        <v>-3.8346965075767181E-2</v>
      </c>
      <c r="H50" s="51"/>
      <c r="I50" s="47"/>
    </row>
    <row r="51" spans="2:12" s="1" customFormat="1" ht="15.75" x14ac:dyDescent="0.25">
      <c r="B51" s="13" t="s">
        <v>47</v>
      </c>
      <c r="C51" s="14" t="s">
        <v>59</v>
      </c>
      <c r="D51" s="12" t="s">
        <v>48</v>
      </c>
      <c r="E51" s="55">
        <f>207/2</f>
        <v>103.5</v>
      </c>
      <c r="F51" s="55">
        <f>F52-F50</f>
        <v>68583.039770477219</v>
      </c>
      <c r="G51" s="63">
        <f t="shared" si="9"/>
        <v>661.63806541523877</v>
      </c>
      <c r="H51" s="51"/>
      <c r="I51" s="47"/>
    </row>
    <row r="52" spans="2:12" s="1" customFormat="1" ht="15.75" x14ac:dyDescent="0.25">
      <c r="B52" s="13" t="s">
        <v>49</v>
      </c>
      <c r="C52" s="14" t="s">
        <v>51</v>
      </c>
      <c r="D52" s="12" t="s">
        <v>9</v>
      </c>
      <c r="E52" s="56">
        <f>E50+E51</f>
        <v>1562029.92628</v>
      </c>
      <c r="F52" s="55">
        <f>'[1]Испол ТС полугодие для ИП'!$AZ$46</f>
        <v>1570614.3279310002</v>
      </c>
      <c r="G52" s="63">
        <f t="shared" si="9"/>
        <v>5.4956704135906698E-3</v>
      </c>
      <c r="H52" s="73"/>
      <c r="I52" s="47"/>
    </row>
    <row r="53" spans="2:12" s="1" customFormat="1" ht="15.75" x14ac:dyDescent="0.25">
      <c r="B53" s="13" t="s">
        <v>50</v>
      </c>
      <c r="C53" s="14" t="s">
        <v>62</v>
      </c>
      <c r="D53" s="12" t="s">
        <v>9</v>
      </c>
      <c r="E53" s="48">
        <f>E49+E51</f>
        <v>24546</v>
      </c>
      <c r="F53" s="48">
        <f>[2]г.Экибастуз!$DW$104</f>
        <v>60819.949735710106</v>
      </c>
      <c r="G53" s="63">
        <f t="shared" si="9"/>
        <v>1.4777947419420725</v>
      </c>
      <c r="H53" s="51"/>
      <c r="I53" s="47"/>
    </row>
    <row r="54" spans="2:12" s="25" customFormat="1" ht="15.75" x14ac:dyDescent="0.25">
      <c r="B54" s="23" t="s">
        <v>52</v>
      </c>
      <c r="C54" s="24" t="s">
        <v>63</v>
      </c>
      <c r="D54" s="43" t="s">
        <v>53</v>
      </c>
      <c r="E54" s="32">
        <f>E55+E56</f>
        <v>536.08600000000001</v>
      </c>
      <c r="F54" s="32">
        <f>'[1]Испол ТС полугодие для ИП'!$AZ$48</f>
        <v>528.34652599999993</v>
      </c>
      <c r="G54" s="63">
        <f t="shared" si="9"/>
        <v>-1.4437000779725762E-2</v>
      </c>
      <c r="H54" s="16"/>
      <c r="I54" s="47"/>
    </row>
    <row r="55" spans="2:12" s="1" customFormat="1" ht="15.75" x14ac:dyDescent="0.25">
      <c r="B55" s="26"/>
      <c r="C55" s="27" t="s">
        <v>54</v>
      </c>
      <c r="D55" s="20" t="s">
        <v>53</v>
      </c>
      <c r="E55" s="57">
        <v>374.16199999999998</v>
      </c>
      <c r="F55" s="57">
        <f>[3]г.Экибастуз!$DT$9</f>
        <v>383.91334499999999</v>
      </c>
      <c r="G55" s="63">
        <f t="shared" si="9"/>
        <v>2.6061826160860946E-2</v>
      </c>
      <c r="H55" s="64"/>
      <c r="I55" s="47"/>
    </row>
    <row r="56" spans="2:12" s="1" customFormat="1" ht="63" x14ac:dyDescent="0.25">
      <c r="B56" s="26"/>
      <c r="C56" s="27" t="s">
        <v>64</v>
      </c>
      <c r="D56" s="20" t="s">
        <v>53</v>
      </c>
      <c r="E56" s="57">
        <v>161.92400000000001</v>
      </c>
      <c r="F56" s="57">
        <f>[3]г.Экибастуз!$DT$27</f>
        <v>144.432727</v>
      </c>
      <c r="G56" s="63">
        <f t="shared" si="9"/>
        <v>-0.10802149773968039</v>
      </c>
      <c r="H56" s="16" t="s">
        <v>112</v>
      </c>
      <c r="I56" s="47"/>
    </row>
    <row r="57" spans="2:12" s="9" customFormat="1" ht="15.75" x14ac:dyDescent="0.25">
      <c r="B57" s="23" t="s">
        <v>55</v>
      </c>
      <c r="C57" s="14" t="s">
        <v>65</v>
      </c>
      <c r="D57" s="12" t="s">
        <v>57</v>
      </c>
      <c r="E57" s="58">
        <f t="shared" ref="E57:F57" si="11">E52/E54</f>
        <v>2913.7674296288283</v>
      </c>
      <c r="F57" s="58">
        <f t="shared" si="11"/>
        <v>2972.6973693227242</v>
      </c>
      <c r="G57" s="66"/>
      <c r="H57" s="64"/>
      <c r="I57" s="47"/>
    </row>
    <row r="58" spans="2:12" s="9" customFormat="1" ht="47.25" x14ac:dyDescent="0.25">
      <c r="B58" s="23"/>
      <c r="C58" s="18" t="s">
        <v>94</v>
      </c>
      <c r="D58" s="12" t="s">
        <v>9</v>
      </c>
      <c r="E58" s="59">
        <v>966</v>
      </c>
      <c r="F58" s="59">
        <v>966</v>
      </c>
      <c r="G58" s="66"/>
      <c r="H58" s="66"/>
    </row>
    <row r="59" spans="2:12" s="9" customFormat="1" ht="47.25" x14ac:dyDescent="0.25">
      <c r="B59" s="23"/>
      <c r="C59" s="18" t="s">
        <v>95</v>
      </c>
      <c r="D59" s="12" t="s">
        <v>9</v>
      </c>
      <c r="E59" s="60">
        <v>2060.11</v>
      </c>
      <c r="F59" s="60">
        <v>2060.11</v>
      </c>
      <c r="G59" s="66"/>
      <c r="H59" s="66"/>
    </row>
    <row r="60" spans="2:12" s="9" customFormat="1" ht="78.75" x14ac:dyDescent="0.25">
      <c r="B60" s="23"/>
      <c r="C60" s="18" t="s">
        <v>96</v>
      </c>
      <c r="D60" s="12" t="s">
        <v>9</v>
      </c>
      <c r="E60" s="59">
        <v>1932</v>
      </c>
      <c r="F60" s="59">
        <v>1932</v>
      </c>
      <c r="G60" s="66"/>
      <c r="H60" s="66"/>
      <c r="K60" s="82">
        <f>F61*F56</f>
        <v>788648.90789263998</v>
      </c>
      <c r="L60" s="82" t="e">
        <f>#REF!*#REF!</f>
        <v>#REF!</v>
      </c>
    </row>
    <row r="61" spans="2:12" s="9" customFormat="1" ht="15.75" x14ac:dyDescent="0.25">
      <c r="B61" s="23"/>
      <c r="C61" s="18" t="s">
        <v>64</v>
      </c>
      <c r="D61" s="12" t="s">
        <v>9</v>
      </c>
      <c r="E61" s="60">
        <v>5460.32</v>
      </c>
      <c r="F61" s="60">
        <v>5460.32</v>
      </c>
      <c r="G61" s="66"/>
      <c r="H61" s="66"/>
    </row>
    <row r="62" spans="2:12" ht="31.5" x14ac:dyDescent="0.25">
      <c r="B62" s="13" t="s">
        <v>56</v>
      </c>
      <c r="C62" s="6" t="s">
        <v>69</v>
      </c>
      <c r="D62" s="44" t="s">
        <v>5</v>
      </c>
      <c r="E62" s="55">
        <f>683/2</f>
        <v>341.5</v>
      </c>
      <c r="F62" s="55">
        <f>E62</f>
        <v>341.5</v>
      </c>
      <c r="G62" s="65"/>
      <c r="H62" s="65"/>
    </row>
    <row r="63" spans="2:12" x14ac:dyDescent="0.2">
      <c r="G63" s="29"/>
    </row>
    <row r="64" spans="2:12" ht="18.75" x14ac:dyDescent="0.3">
      <c r="C64" s="40" t="s">
        <v>58</v>
      </c>
      <c r="D64" s="41"/>
      <c r="E64" s="29"/>
      <c r="F64" s="41" t="s">
        <v>68</v>
      </c>
      <c r="G64" s="29"/>
    </row>
    <row r="65" spans="2:7" x14ac:dyDescent="0.2">
      <c r="C65" s="34"/>
      <c r="D65" s="35"/>
      <c r="E65" s="29"/>
      <c r="F65" s="29"/>
      <c r="G65" s="29"/>
    </row>
    <row r="66" spans="2:7" ht="18.75" x14ac:dyDescent="0.3">
      <c r="C66" s="49" t="s">
        <v>58</v>
      </c>
      <c r="D66" s="41"/>
      <c r="E66" s="41"/>
      <c r="F66" s="41"/>
      <c r="G66" s="29"/>
    </row>
    <row r="67" spans="2:7" x14ac:dyDescent="0.2">
      <c r="C67" s="34"/>
      <c r="D67" s="29"/>
      <c r="E67" s="29"/>
      <c r="F67" s="29"/>
      <c r="G67" s="29"/>
    </row>
    <row r="68" spans="2:7" x14ac:dyDescent="0.2">
      <c r="C68" s="34"/>
      <c r="D68" s="29"/>
      <c r="E68" s="29"/>
      <c r="F68" s="29"/>
      <c r="G68" s="29"/>
    </row>
    <row r="69" spans="2:7" x14ac:dyDescent="0.2">
      <c r="C69" s="29"/>
      <c r="D69" s="29"/>
      <c r="E69" s="29"/>
      <c r="F69" s="29"/>
      <c r="G69" s="29"/>
    </row>
    <row r="70" spans="2:7" ht="15.75" x14ac:dyDescent="0.25">
      <c r="B70" s="30"/>
      <c r="C70" s="31"/>
      <c r="D70" s="36"/>
      <c r="E70" s="37"/>
      <c r="F70" s="37"/>
      <c r="G70" s="29"/>
    </row>
    <row r="71" spans="2:7" x14ac:dyDescent="0.2">
      <c r="C71" s="29"/>
      <c r="D71" s="38"/>
      <c r="E71" s="29"/>
      <c r="F71" s="29"/>
      <c r="G71" s="29"/>
    </row>
    <row r="72" spans="2:7" x14ac:dyDescent="0.2">
      <c r="C72" s="29"/>
      <c r="D72" s="29"/>
      <c r="E72" s="29"/>
      <c r="F72" s="29"/>
      <c r="G72" s="29"/>
    </row>
    <row r="73" spans="2:7" x14ac:dyDescent="0.2">
      <c r="C73" s="34"/>
      <c r="D73" s="29"/>
      <c r="E73" s="29"/>
      <c r="F73" s="29"/>
      <c r="G73" s="29"/>
    </row>
    <row r="74" spans="2:7" x14ac:dyDescent="0.2">
      <c r="C74" s="29"/>
      <c r="D74" s="29"/>
      <c r="E74" s="29"/>
      <c r="F74" s="29"/>
      <c r="G74" s="29"/>
    </row>
    <row r="75" spans="2:7" x14ac:dyDescent="0.2">
      <c r="C75" s="29"/>
      <c r="D75" s="29"/>
      <c r="E75" s="29"/>
      <c r="F75" s="29"/>
      <c r="G75" s="29"/>
    </row>
    <row r="76" spans="2:7" x14ac:dyDescent="0.2">
      <c r="C76" s="39"/>
      <c r="D76" s="29"/>
      <c r="E76" s="29"/>
      <c r="F76" s="29"/>
      <c r="G76" s="29"/>
    </row>
    <row r="82" ht="31.5" customHeight="1" x14ac:dyDescent="0.2"/>
  </sheetData>
  <mergeCells count="14">
    <mergeCell ref="B5:F5"/>
    <mergeCell ref="B6:F6"/>
    <mergeCell ref="B9:B10"/>
    <mergeCell ref="C9:C10"/>
    <mergeCell ref="D9:D10"/>
    <mergeCell ref="D7:E7"/>
    <mergeCell ref="B29:B30"/>
    <mergeCell ref="B34:B35"/>
    <mergeCell ref="G9:G10"/>
    <mergeCell ref="H9:H10"/>
    <mergeCell ref="E9:E10"/>
    <mergeCell ref="F9:F10"/>
    <mergeCell ref="B18:B19"/>
    <mergeCell ref="B21:B22"/>
  </mergeCells>
  <pageMargins left="0.51181102362204722" right="0.39370078740157483" top="0.39370078740157483" bottom="0.39370078740157483" header="7.874015748031496E-2" footer="7.874015748031496E-2"/>
  <pageSetup paperSize="9" scale="49" fitToHeight="2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 Прил.2 для размещения 1полуг</vt:lpstr>
      <vt:lpstr>'по Прил.2 для размещения 1полуг'!Заголовки_для_печати</vt:lpstr>
      <vt:lpstr>'по Прил.2 для размещения 1полуг'!Область_печати</vt:lpstr>
    </vt:vector>
  </TitlesOfParts>
  <Company>АО "Энергоцентр"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Джуманиязова А. Б.</dc:creator>
  <cp:lastModifiedBy>Hohlova</cp:lastModifiedBy>
  <cp:lastPrinted>2016-05-24T11:32:26Z</cp:lastPrinted>
  <dcterms:created xsi:type="dcterms:W3CDTF">2015-07-21T10:01:13Z</dcterms:created>
  <dcterms:modified xsi:type="dcterms:W3CDTF">2016-05-25T04:27:39Z</dcterms:modified>
</cp:coreProperties>
</file>