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16965" windowHeight="13530" activeTab="0"/>
  </bookViews>
  <sheets>
    <sheet name="ТОО ПЭС г.Павлодар (за 2021г)" sheetId="1" r:id="rId1"/>
    <sheet name="ТОО ПЭС г.Павлодар (за 2021 каз" sheetId="2" r:id="rId2"/>
    <sheet name="ТОО ПЭС г.Павлодар 2018" sheetId="3" state="hidden" r:id="rId3"/>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Print_Titles" localSheetId="1">'ТОО ПЭС г.Павлодар (за 2021 каз'!$A:$B,'ТОО ПЭС г.Павлодар (за 2021 каз'!$14:$16</definedName>
    <definedName name="_xlnm.Print_Titles" localSheetId="0">'ТОО ПЭС г.Павлодар (за 2021г)'!$A:$B,'ТОО ПЭС г.Павлодар (за 2021г)'!$14:$16</definedName>
    <definedName name="_xlnm.Print_Area" localSheetId="1">'ТОО ПЭС г.Павлодар (за 2021 каз'!$A$1:$O$98</definedName>
    <definedName name="_xlnm.Print_Area" localSheetId="0">'ТОО ПЭС г.Павлодар (за 2021г)'!$A$1:$O$98</definedName>
  </definedNames>
  <calcPr fullCalcOnLoad="1"/>
</workbook>
</file>

<file path=xl/comments1.xml><?xml version="1.0" encoding="utf-8"?>
<comments xmlns="http://schemas.openxmlformats.org/spreadsheetml/2006/main">
  <authors>
    <author>Садыкова Сауле Оралгазиновна</author>
  </authors>
  <commentList>
    <comment ref="J77" authorId="0">
      <text>
        <r>
          <rPr>
            <b/>
            <sz val="8"/>
            <rFont val="Tahoma"/>
            <family val="2"/>
          </rPr>
          <t>Садыкова Сауле Оралгазиновна:</t>
        </r>
        <r>
          <rPr>
            <sz val="8"/>
            <rFont val="Tahoma"/>
            <family val="2"/>
          </rPr>
          <t xml:space="preserve">
В факте прибавляем все объемы и суммы (сумма/объем)</t>
        </r>
      </text>
    </comment>
  </commentList>
</comments>
</file>

<file path=xl/comments2.xml><?xml version="1.0" encoding="utf-8"?>
<comments xmlns="http://schemas.openxmlformats.org/spreadsheetml/2006/main">
  <authors>
    <author>Садыкова Сауле Оралгазиновна</author>
  </authors>
  <commentList>
    <comment ref="J77" authorId="0">
      <text>
        <r>
          <rPr>
            <b/>
            <sz val="8"/>
            <rFont val="Tahoma"/>
            <family val="2"/>
          </rPr>
          <t>Садыкова Сауле Оралгазиновна:</t>
        </r>
        <r>
          <rPr>
            <sz val="8"/>
            <rFont val="Tahoma"/>
            <family val="2"/>
          </rPr>
          <t xml:space="preserve">
В факте прибавляем все объемы и суммы (сумма/объем)</t>
        </r>
      </text>
    </comment>
  </commentList>
</comments>
</file>

<file path=xl/comments3.xml><?xml version="1.0" encoding="utf-8"?>
<comments xmlns="http://schemas.openxmlformats.org/spreadsheetml/2006/main">
  <authors>
    <author>Забиева Бибижан Бериковна</author>
  </authors>
  <commentList>
    <comment ref="K79" authorId="0">
      <text>
        <r>
          <rPr>
            <b/>
            <sz val="9"/>
            <rFont val="Tahoma"/>
            <family val="2"/>
          </rPr>
          <t xml:space="preserve">Забиева Бибижан Бериковна:
фактически сложив. тарифы
</t>
        </r>
      </text>
    </comment>
  </commentList>
</comments>
</file>

<file path=xl/sharedStrings.xml><?xml version="1.0" encoding="utf-8"?>
<sst xmlns="http://schemas.openxmlformats.org/spreadsheetml/2006/main" count="704" uniqueCount="378">
  <si>
    <t>1.1.</t>
  </si>
  <si>
    <t>1.2.</t>
  </si>
  <si>
    <t>2.1.</t>
  </si>
  <si>
    <t>2.2.</t>
  </si>
  <si>
    <t>Расходы периода</t>
  </si>
  <si>
    <t>Услуги сторонних организаций</t>
  </si>
  <si>
    <t>аудит</t>
  </si>
  <si>
    <t>командировочные расходы</t>
  </si>
  <si>
    <t>услуги банка</t>
  </si>
  <si>
    <t>охрана объектов</t>
  </si>
  <si>
    <t>налог на имущество</t>
  </si>
  <si>
    <t>I</t>
  </si>
  <si>
    <t>тыс. тенге</t>
  </si>
  <si>
    <t>в том числе:</t>
  </si>
  <si>
    <t>Материальные затраты, всего</t>
  </si>
  <si>
    <t>-\\-</t>
  </si>
  <si>
    <t>Покупная энергия в горячей воде для централизованного теплоснабжения</t>
  </si>
  <si>
    <t>Передача и распределение тепловой энергии в горячей воде</t>
  </si>
  <si>
    <t>II</t>
  </si>
  <si>
    <t>Материалы на эксплуатацию</t>
  </si>
  <si>
    <t>материалы по АСУ</t>
  </si>
  <si>
    <t>Затраты на оплату труда, всего</t>
  </si>
  <si>
    <t>3.1.</t>
  </si>
  <si>
    <t>заработная плата</t>
  </si>
  <si>
    <t>3.2.</t>
  </si>
  <si>
    <t>Амортизация</t>
  </si>
  <si>
    <t>5.1.</t>
  </si>
  <si>
    <t xml:space="preserve">услуги по транспорту </t>
  </si>
  <si>
    <t>Прочие услуги</t>
  </si>
  <si>
    <t>6.1.</t>
  </si>
  <si>
    <t>6.2.</t>
  </si>
  <si>
    <t>канцелярские и  почтово-телеграфные расходы</t>
  </si>
  <si>
    <t>6.3.</t>
  </si>
  <si>
    <t>услуги связи (радио, телефон)</t>
  </si>
  <si>
    <t>6.4.</t>
  </si>
  <si>
    <t>6.5.</t>
  </si>
  <si>
    <t>6.6.</t>
  </si>
  <si>
    <t>налоговые платежи и сборы</t>
  </si>
  <si>
    <t>страхование работников</t>
  </si>
  <si>
    <t>6.7.</t>
  </si>
  <si>
    <t xml:space="preserve">аренда помещений </t>
  </si>
  <si>
    <t>6.8.</t>
  </si>
  <si>
    <t>затраты по технике безопасности и охране труда</t>
  </si>
  <si>
    <t>информационные, регистраторские услуги</t>
  </si>
  <si>
    <t>6.10.</t>
  </si>
  <si>
    <t>изготовление бланочной продукции</t>
  </si>
  <si>
    <t>6.12.</t>
  </si>
  <si>
    <t>III</t>
  </si>
  <si>
    <t>IV</t>
  </si>
  <si>
    <t>Прибыль</t>
  </si>
  <si>
    <t>V</t>
  </si>
  <si>
    <t>Всего доходов</t>
  </si>
  <si>
    <t>VI</t>
  </si>
  <si>
    <t>VII</t>
  </si>
  <si>
    <t>Полезный отпуск тепловой энергии</t>
  </si>
  <si>
    <t>тыс. Гкал</t>
  </si>
  <si>
    <t>1.3.</t>
  </si>
  <si>
    <t>1.4.</t>
  </si>
  <si>
    <t>6.11.</t>
  </si>
  <si>
    <t>приобретение нормативно-технической литературы</t>
  </si>
  <si>
    <t>VIII</t>
  </si>
  <si>
    <t>тенге/ Гкал</t>
  </si>
  <si>
    <t>6.9.</t>
  </si>
  <si>
    <t>5.2.</t>
  </si>
  <si>
    <t>%</t>
  </si>
  <si>
    <t>Всего затрат</t>
  </si>
  <si>
    <t xml:space="preserve"> </t>
  </si>
  <si>
    <t>Всего</t>
  </si>
  <si>
    <t>Для потребителей, присоединенных к сетям централизованного теплоснабжения</t>
  </si>
  <si>
    <t>Для потребителей, не присоединенных к сетям централизованного теплоснабжения</t>
  </si>
  <si>
    <t>Тариф без учета НДС</t>
  </si>
  <si>
    <t>проценты распределения объемов реализации</t>
  </si>
  <si>
    <t>Справочно:</t>
  </si>
  <si>
    <t>тенге</t>
  </si>
  <si>
    <t>Ед.измерения</t>
  </si>
  <si>
    <t>IX</t>
  </si>
  <si>
    <t>X</t>
  </si>
  <si>
    <t>Прочие потребители</t>
  </si>
  <si>
    <t>Объемы для потребителей, присоединенных к сетям централизованного теплоснабжения</t>
  </si>
  <si>
    <t>для физических лиц, относящихся к группе население, имеющих общедомовые приборы учета тепловой энергии</t>
  </si>
  <si>
    <t>для физических лиц, относящихся к группе население,  не имеющих общедомовые приборы учета тепловой энергии</t>
  </si>
  <si>
    <t>для физических лиц, относящихся к группе население, проживающих  в ветхих, аварийных жилых помещениях, домах барачного типа, где отсутствует техническая возможность установки общедомовых приборов учета тепловой энергии</t>
  </si>
  <si>
    <t>для прочих потребителей, имеющих общедомовые приборы учета тепловой энергии</t>
  </si>
  <si>
    <t>для прочих потребителей, не имеющих общедомовые приборы учета тепловой энергии</t>
  </si>
  <si>
    <t>для прочих потребителей, расположенных в ветхих, аварийных помещениях, домах барачного типа, где отсутствует техническая возможность установки общедомовых приборов учета тепловой энергии</t>
  </si>
  <si>
    <t>Среднесписочная численность, всего</t>
  </si>
  <si>
    <t>чел.</t>
  </si>
  <si>
    <t>Среднемесячная заработная плата, всего</t>
  </si>
  <si>
    <t>Снабженческая надбавка</t>
  </si>
  <si>
    <t>тенге/Гкал</t>
  </si>
  <si>
    <t xml:space="preserve"> (цен, ставок сборов) и тарифных смет</t>
  </si>
  <si>
    <t xml:space="preserve"> субъектов естественных монополий</t>
  </si>
  <si>
    <t xml:space="preserve">на регулируемые услуги (товары, работы) </t>
  </si>
  <si>
    <t>Наименование показателей тарифной сметы</t>
  </si>
  <si>
    <t>Срок представления - ежегодно не позднее 1 мая года, следующего за отчетным периодом</t>
  </si>
  <si>
    <t>Наименование организации "ТОО Павлодарэнергосбыт"</t>
  </si>
  <si>
    <t>М.П.</t>
  </si>
  <si>
    <t xml:space="preserve"> За счет заниженной  средней з/п в утвержденной тарифной смете.</t>
  </si>
  <si>
    <t xml:space="preserve">Приложение 1 </t>
  </si>
  <si>
    <t xml:space="preserve"> к Правилам утверждения  предельного уровня тарифов</t>
  </si>
  <si>
    <t>Регулируемая база задействованных активов (РБА)</t>
  </si>
  <si>
    <t>Затраты на производство товаров и предоставление услуг, всего</t>
  </si>
  <si>
    <t>прочие услуги (обслуживание ККМ, КСМ)</t>
  </si>
  <si>
    <t>Физические лица</t>
  </si>
  <si>
    <t>№ 213-ОД от 17.07.2013 года</t>
  </si>
  <si>
    <t>Представляет: ТОО "Павлодарэнергосбыт"</t>
  </si>
  <si>
    <t>Причины отклонений</t>
  </si>
  <si>
    <r>
      <t xml:space="preserve">Телефон </t>
    </r>
    <r>
      <rPr>
        <u val="single"/>
        <sz val="12"/>
        <rFont val="Times New Roman"/>
        <family val="1"/>
      </rPr>
      <t>39-95-24</t>
    </r>
  </si>
  <si>
    <t>Бюджетные организации</t>
  </si>
  <si>
    <t>для бюджетных организаций, имеющих общедомовые приборы учета тепловой энергии</t>
  </si>
  <si>
    <t>для бюджетных организаций, не имеющих общедомовые приборы учета тепловой энергии</t>
  </si>
  <si>
    <t>для бюджетных организаций, расположенных в ветхих, аварийных помещениях, домах барачного типа, где отсутствует техническая возможность установки общедомовых приборов учета тепловой энергии</t>
  </si>
  <si>
    <t>Индекс: ИТС-1</t>
  </si>
  <si>
    <r>
      <t xml:space="preserve">Адрес </t>
    </r>
    <r>
      <rPr>
        <u val="single"/>
        <sz val="12"/>
        <rFont val="Times New Roman"/>
        <family val="1"/>
      </rPr>
      <t>г.Павлодар ул.Кривенко,27</t>
    </r>
  </si>
  <si>
    <r>
      <t xml:space="preserve">Адрес электронной почты </t>
    </r>
    <r>
      <rPr>
        <u val="single"/>
        <sz val="12"/>
        <rFont val="Times New Roman"/>
        <family val="1"/>
      </rPr>
      <t>office@pavlodarenergo.kz</t>
    </r>
  </si>
  <si>
    <t>3.3.</t>
  </si>
  <si>
    <t xml:space="preserve"> согласно ставкам установленный НК РК по  ОС числящихся  в бух учете.</t>
  </si>
  <si>
    <t xml:space="preserve">Павлодар қ. жылу энергиясымен жабдықтау бойынша "Павлодарэнергосбыт" ЖШС-ның қызметтеріне тарифтік сметаларды орындау туралы есеп </t>
  </si>
  <si>
    <r>
      <t xml:space="preserve">Есептік кезең </t>
    </r>
    <r>
      <rPr>
        <u val="single"/>
        <sz val="12"/>
        <rFont val="Times New Roman"/>
        <family val="1"/>
      </rPr>
      <t>2018 жыл</t>
    </r>
  </si>
  <si>
    <t>Индексі: ТСОЕ-1</t>
  </si>
  <si>
    <t>Мерзімділігі: жылдық</t>
  </si>
  <si>
    <t>Ұсынған: "Павлодарэнергосбыт" ЖШС</t>
  </si>
  <si>
    <t xml:space="preserve">Форма қайда ұсынылады: Қазақстан Республикасы Ұлттық экономика министрлігі Табиғи монополияларды реттеу, тұтынушылардың құқықтарын және бәсекелестікті қорғау комитетіне </t>
  </si>
  <si>
    <t>Ұсыну мерзімі - жыл сайын есептік кезеңнен кейінгі жылдың 01 мамырынан кешіктірмей</t>
  </si>
  <si>
    <t>№ р/с</t>
  </si>
  <si>
    <t>Тарифтік сметадағы көрсеткіштер атауы</t>
  </si>
  <si>
    <t>Өлшем бірлігі</t>
  </si>
  <si>
    <t xml:space="preserve">2018 жылға  бекітілген тарифтік сметада қарастырылған </t>
  </si>
  <si>
    <t xml:space="preserve">2018 жылға нақты қалыптасқан тарифтік смета көрсеткіштері </t>
  </si>
  <si>
    <t>Ауытқу</t>
  </si>
  <si>
    <t>Ауытқу себептері</t>
  </si>
  <si>
    <t>Барлығы</t>
  </si>
  <si>
    <t xml:space="preserve">Орталықтандырылған жылумен жабдықтау желілеріне қосылған тұтынушылар үшін </t>
  </si>
  <si>
    <t xml:space="preserve">Орталықтандырылған жылумен жабдықтау желілеріне қосылмаған тұтынушылар үшін </t>
  </si>
  <si>
    <t>оның ішінде</t>
  </si>
  <si>
    <t>ЖЭО-2-ден 16 буда</t>
  </si>
  <si>
    <t>ЖЭО-3-тен</t>
  </si>
  <si>
    <t>ЖЖО</t>
  </si>
  <si>
    <t>ОЖО</t>
  </si>
  <si>
    <t xml:space="preserve"> 16 бу</t>
  </si>
  <si>
    <t>ыстық су</t>
  </si>
  <si>
    <t>Тауарларды өндіру мен қызметтерді көрсетуге шығындар, барлығы</t>
  </si>
  <si>
    <t>мың теңге</t>
  </si>
  <si>
    <t>оның ішінде:</t>
  </si>
  <si>
    <t>Материалдық шығындар, барлығы</t>
  </si>
  <si>
    <t>орталықтандырылған жылумен жабдықтау үшін ыстық суда сатып алынған энергия</t>
  </si>
  <si>
    <t xml:space="preserve">Тұтыну көлемдерін арттыру есебінен, сонымен қатар "АП-162/3" ММ-нің тікелей тұтынуға көшуіне байланысты </t>
  </si>
  <si>
    <t>"ПАВЛОДАРЭНЕРГО" АҚ ЖЭО-3-тен ыстық суда сатып алынған энергия</t>
  </si>
  <si>
    <t xml:space="preserve">"Гелиос" ЖШС-ның тұтынуды тоқтатуына және "АП-162/3" ММ тікелей тұтынуға көшуіне байланысты  </t>
  </si>
  <si>
    <t>"ПАВЛОДАРЭНЕРГО" АҚ ЖЭО-3 пен ЖЭО-2-ден будағы сатып алынған энергия</t>
  </si>
  <si>
    <t xml:space="preserve">"Статус" ЖШС-ның 1,922 Гкал-ға, "Ертіс сервис" ЖШС-ның 30,382 Гкал-ға тұтыну көлемдерінің  төмендеуі     </t>
  </si>
  <si>
    <t xml:space="preserve">Ыстық суда жылу энергиясын беру және тарату </t>
  </si>
  <si>
    <t xml:space="preserve">Нақты Жжс төмендету есебінен ЖЭЕҚ бойынша Гкал тұтыну көлемдерін арттыру </t>
  </si>
  <si>
    <t>Кезеңдік шығыстар</t>
  </si>
  <si>
    <t>Пайдалануға арналған материалдар</t>
  </si>
  <si>
    <t>АСУ бойынша материалдар</t>
  </si>
  <si>
    <t xml:space="preserve">АСУ (картридждер, жөндеу жинақтамалары мен өзге де жинақтама материалдары) шығын материалдарына кеткен жеткізуші баға құнының өсуіне байланысты   </t>
  </si>
  <si>
    <t>техн. қызмет көрсету бойынша материалдар</t>
  </si>
  <si>
    <t>Еңбекақы төлеуге кеткен шығындар, барлығы</t>
  </si>
  <si>
    <t>еңбекақы</t>
  </si>
  <si>
    <t xml:space="preserve">Төмендетілген орташа еңбекақы есебінен, бекітілген тарифтік сметада орташа еңбекақы 59862 теңгені, ал нақты еңбекақы 89 630 теңгені құрайды.  </t>
  </si>
  <si>
    <t>әлеуметтік салық</t>
  </si>
  <si>
    <t xml:space="preserve">ЕҚТ бойынша нақты шығындары мен МӘМС бойынша шығындары есебінен ("Міндетті әлеуметтік медициналық сақтандыру туралы" ҚР Заңына сәйкес 2017 жылғы 1 шілдеден бастап қолданысқа енгізілген )   </t>
  </si>
  <si>
    <t xml:space="preserve">Міндетті әлеуметтік медициналық сақтандыру </t>
  </si>
  <si>
    <t>Жақтас ұйымдардың қызметтері</t>
  </si>
  <si>
    <t>көлік қызметтері</t>
  </si>
  <si>
    <t>қызмет жеткізушілері құнының өсуіне байланысты</t>
  </si>
  <si>
    <t>өзге қызметтер (ККМ, КСМ қызмет көрсету)</t>
  </si>
  <si>
    <t xml:space="preserve">Өзге қызметтер </t>
  </si>
  <si>
    <t>іс-сапарлық шығыстар</t>
  </si>
  <si>
    <t xml:space="preserve">АЕК өсуі, жол жүру мен тұру құнының артуы есебінен  </t>
  </si>
  <si>
    <t>кеңселік және пошта-телеграфтық шығындар</t>
  </si>
  <si>
    <t xml:space="preserve">Кеңселік тауарлар мен пошта-телеграфтық қызметтер құнының артуы есебінен </t>
  </si>
  <si>
    <t>Байланыс (радио, телефон) қызметтері</t>
  </si>
  <si>
    <t>банк қызметтері</t>
  </si>
  <si>
    <t>нысандарды күзету</t>
  </si>
  <si>
    <t>салық төлемдері мен алымдары</t>
  </si>
  <si>
    <t>қоршаған ортаны ластағаны үшін ақы, жер салығы</t>
  </si>
  <si>
    <t xml:space="preserve">ҚР СК сай жерге салынған салықтың белгіленген мөлшерлемесіне сәйкес нақты қалыптасқан көрсеткіштері бойынша  </t>
  </si>
  <si>
    <t xml:space="preserve">мүлікке салынатын салық </t>
  </si>
  <si>
    <t xml:space="preserve">нақты қалыптасқан көрсеткіштер бойынша </t>
  </si>
  <si>
    <t>қызметкерлерді сақтандыру</t>
  </si>
  <si>
    <t>жасалған шарттарға сәйкес</t>
  </si>
  <si>
    <t>Үй-жайларды жалға алу</t>
  </si>
  <si>
    <t xml:space="preserve">Қауіпсіздік техникасы мен еңбекті қорғау жөніндегі шығындар </t>
  </si>
  <si>
    <t xml:space="preserve">еңбек жағдайлары бойынша талаптарға сәйкес </t>
  </si>
  <si>
    <t>ақпараттық, тіркеу қызметтері</t>
  </si>
  <si>
    <t xml:space="preserve">Тарифтік сметадағы төмендетілген сома есебінен. БАҚ-да тарифтерді өзгерту, көпшілік тыңдаулар, жылдық есептер, ТСӨ және ИБ жарияланымдар мен хабарландыруларын орналастыру, сонымен қатар Заңнама Параграф ДҚ ортану 1 база+8 қ. орын </t>
  </si>
  <si>
    <t>нормативтік-техникалық әдебиетті салып алу</t>
  </si>
  <si>
    <t xml:space="preserve">Мерзімдік басылымдар құнының қымбаттауы және бекітілген тарифтік сметадағы төмендетілген сома есебінен </t>
  </si>
  <si>
    <t>бланк өнімдерін дайындау</t>
  </si>
  <si>
    <t>Барлық шығындар</t>
  </si>
  <si>
    <t xml:space="preserve">Пайда </t>
  </si>
  <si>
    <t xml:space="preserve">Диф. тарифтерді қолданудан туындаған залалдар, 2018 жылдың 01 мамырынан бастап ТРШ ретінде ЖЭО-1 жылу энергиясын өндіруге тарифті қолданысқа енгізу, сонымен қатар жабдықтау үстемесі бойынша шығындардың артуы   </t>
  </si>
  <si>
    <t xml:space="preserve">Қолданыстағы активтердің реттелетін қоры (АРҚ) </t>
  </si>
  <si>
    <t xml:space="preserve">Барлық табыстар </t>
  </si>
  <si>
    <t xml:space="preserve">Жылу энергиясын пайдалы босату </t>
  </si>
  <si>
    <t>мың Гкал</t>
  </si>
  <si>
    <t>ҚҚС есебісіз тариф</t>
  </si>
  <si>
    <t>теңге/ Гкал</t>
  </si>
  <si>
    <t xml:space="preserve">Орталықтандырылған жылумен жабдықтау желілеріне қосылған тұтынушылар үшін көлемдер </t>
  </si>
  <si>
    <t>Жеке тұлғалар</t>
  </si>
  <si>
    <t>Өзге тұтынушылар</t>
  </si>
  <si>
    <t>Бюджеттік ұйымдар</t>
  </si>
  <si>
    <t xml:space="preserve"> 2018 жылы мына тарифтер қолданылды: - 01.01.2018ж. мен 30.04 2018ж. аралығында ҚР ҰЭМ ТМРТҚжБҚК Павлодар облысы бойынша комитетінің 2017ж. 18.03-тегі №28-НҚ бұйрығымен бекітілген;
- 01.05.2018ж. бастап ҚР ҰЭМ ТМРТҚжБҚК Павлодар облысы бойынша комитетінің 2018ж. 23.04-тегі №57-НҚ бұйрығымен бекітілген; 
-с 01.12.2018ж. ҚР ҰЭМ ТМРТҚжБҚК Павлодар облысы бойынша комитетімен 2018ж. 10.12-дегі №2-07/2904 келісуі 
</t>
  </si>
  <si>
    <t xml:space="preserve">жылу энергиясын есептейтін жалпы үйлік құралдары бар халық тобына жататын жеке тұлғаларға </t>
  </si>
  <si>
    <t xml:space="preserve">жылу энергиясын есептейтін жалпы үйлік құралдары жоқ халық тобына жататын жеке тұлғаларға </t>
  </si>
  <si>
    <t xml:space="preserve">жылу энергиясын есептейтін жалпы үйлік құралдарын орнатуға техникалық мүмкіндігі жоқ ескі, апаттық үй-жайларда, барақ типті үйлерде тұратын халық тобына жататын жеке тұлғалар үшін  </t>
  </si>
  <si>
    <t>жылу энергиясын есептейтін жалпы үйлік құралдары  бар өзге тұтынушылар үшін</t>
  </si>
  <si>
    <t>жылу энергиясын есептейтін жалпы үйлік құралдары  жоқ өзге тұтынушылар үшін</t>
  </si>
  <si>
    <t xml:space="preserve">жылу энергиясын есептейтін жалпы үйлік құралдарын орнатуға техникалық мүмкіндігі жоқ ескі, апаттық үй-жайларда, барақ типті үйлерде тұратын өзге тұтынушылар үшін   </t>
  </si>
  <si>
    <t xml:space="preserve">жылу энергиясын есептейтін жалпы үйлік құралдары бар бюджеттік ұйымдар үшін </t>
  </si>
  <si>
    <t xml:space="preserve">жылу энергиясын есептейтін жалпы үйлік құралдары жоқ бюджеттік ұйымдар үшін </t>
  </si>
  <si>
    <t>жылу энергиясын есептейтін жалпы үйлік құралдарын орнатуға техникалық мүмкіндігі жоқ ескі, апаттық үй-жайларда, барақ типті үйлерде орналасқан бюджеттік ұйымдар үшін</t>
  </si>
  <si>
    <t>Ұйым атауы "Павлодарэнергосбыт" ЖШС</t>
  </si>
  <si>
    <r>
      <t xml:space="preserve">Мекенжай </t>
    </r>
    <r>
      <rPr>
        <u val="single"/>
        <sz val="12"/>
        <rFont val="Times New Roman"/>
        <family val="1"/>
      </rPr>
      <t>Павлодар қ., Кривенко көш., 27</t>
    </r>
  </si>
  <si>
    <r>
      <t xml:space="preserve">Электрондық пошта мекенжайы </t>
    </r>
    <r>
      <rPr>
        <u val="single"/>
        <sz val="12"/>
        <rFont val="Times New Roman"/>
        <family val="1"/>
      </rPr>
      <t>office@pavlodarenergo.kz</t>
    </r>
  </si>
  <si>
    <r>
      <t xml:space="preserve">Орындаушының тегі және телефоны А.К. </t>
    </r>
    <r>
      <rPr>
        <u val="single"/>
        <sz val="12"/>
        <rFont val="Times New Roman"/>
        <family val="1"/>
      </rPr>
      <t>Омарова т.39-96-55</t>
    </r>
  </si>
  <si>
    <t xml:space="preserve">Бас директор                               </t>
  </si>
  <si>
    <t>Т. Ғ. Арғынов</t>
  </si>
  <si>
    <t>Күні  "____ " ______________ 2019 жыл</t>
  </si>
  <si>
    <t>М.О.</t>
  </si>
  <si>
    <t>Периодичность: годовая</t>
  </si>
  <si>
    <t>Куда представляется форма: в Комитет по регулированию естественных монополий Министерства национальной экономики Республики Казахстан</t>
  </si>
  <si>
    <t>социальный налог и социальные отчисления</t>
  </si>
  <si>
    <t>По фактически сложившимся показателям в  соответствие с установленной ставкой налога на землю согласно НК РК.</t>
  </si>
  <si>
    <t>Отклонение в пределах допустимого уровня.</t>
  </si>
  <si>
    <t>к Правилам формирования тарифов</t>
  </si>
  <si>
    <t>№ 90 от 19.11.2019 года</t>
  </si>
  <si>
    <t>Т.Г. Аргинов</t>
  </si>
  <si>
    <t xml:space="preserve">                                                                               Генеральный директор                               </t>
  </si>
  <si>
    <r>
      <t xml:space="preserve">Отчетный период </t>
    </r>
    <r>
      <rPr>
        <u val="single"/>
        <sz val="12"/>
        <rFont val="Times New Roman"/>
        <family val="1"/>
      </rPr>
      <t>2021 год</t>
    </r>
  </si>
  <si>
    <t>ТЭЦ-1 горячая вода</t>
  </si>
  <si>
    <t>ТЭЦ-2,3 горячая вода</t>
  </si>
  <si>
    <t>ТЭЦ-2,3 пар 16</t>
  </si>
  <si>
    <t>6.13.</t>
  </si>
  <si>
    <t>техническая экспертиза исполнения инвестпрограммы</t>
  </si>
  <si>
    <t>Сумма недополученного дохода в связи с применением дифференцированных тарифов</t>
  </si>
  <si>
    <t>земельный налог</t>
  </si>
  <si>
    <t>Дата  "____ " ______________ 2022 год</t>
  </si>
  <si>
    <t>Предусмотрено в утвержденной тарифной смете на 2021 г.</t>
  </si>
  <si>
    <t>Фактически сложившиеся показатели тарифной сметы за 2021 г.</t>
  </si>
  <si>
    <r>
      <t>Фамилия и телефон исполнителя Садыков</t>
    </r>
    <r>
      <rPr>
        <u val="single"/>
        <sz val="12"/>
        <rFont val="Times New Roman"/>
        <family val="1"/>
      </rPr>
      <t>а С.О. т.39-96-71</t>
    </r>
  </si>
  <si>
    <t>В 2021 году  действовали следующие тарифы:
 - с 01.01.2021 г. по 31.07.2021 г. утвержденный Приказом РГУ "ДКРЕМ" по Павлодарской области от 27.11.2020 г. № 94-ОД;
- с 01.08.2021 г. по 31.12.2021 г. утвержденный Приказом РГУ "ДКРЕМ" по Павлодарской области от 23.07.2021 г. № 69-ОД.</t>
  </si>
  <si>
    <t>№
 п/п</t>
  </si>
  <si>
    <t>материалы по техническому обслуживанию</t>
  </si>
  <si>
    <t>ОСМС</t>
  </si>
  <si>
    <t>аудиторские услуги</t>
  </si>
  <si>
    <t>В связи с исключением в утвержденной тарифной смете почтово-телеграфных расходов</t>
  </si>
  <si>
    <t>В связи с увеличением объема платежей, проходящих через РОS-терминалы, а также в связи с  заниженной в утвержденной тарифной смете суммы по данной статье.</t>
  </si>
  <si>
    <t>По фактически сложившимся расходам по командировкам административного руководства</t>
  </si>
  <si>
    <t>За счет увеличения цен на абонентскую плату, интернет, а также в связи с  заниженной в утвержденной тарифной смете суммы по данной статье.</t>
  </si>
  <si>
    <t>В связи с увеличением стоимости 1 посточаса за услуги по охране объектов в 2021 году, а также в связи с  заниженной в утвержденной тарифной смете суммы по данной статье.</t>
  </si>
  <si>
    <t>Договор по страхованию на 2021 год заключен на сумму выше, чем в утвержденной тарифной смете.</t>
  </si>
  <si>
    <t>Договор с ТОО "ОргПластКомплект" на поставку питьевой воды в 2021 году заключен на сумму выше, чем заложено в тарифной смете.</t>
  </si>
  <si>
    <t>В ТС не были заложены затраты на использование электронной-торговой площадки, в декабре 2021 г. заключен договор с ТОО "ЕвразианТек" на использование ЭТП. А также в связи с  заниженной в утвержденной тарифной смете суммы по данной статье.</t>
  </si>
  <si>
    <t>По фактически сложившимся затратам по техническому обслуживанию ККМ,КСМ, оргтехники, электронной очереди, платежных терминалов согласно заключенным договорам,  а также в связи с  заниженной в утвержденной тарифной смете сумм по данной статье.</t>
  </si>
  <si>
    <t>По фактическим расходам согласно заключенным договорам с АО "Казпочта" и ТОО "АлашПресс", а также в связи с  заниженной в утвержденной тарифной смете суммы по данной статье.</t>
  </si>
  <si>
    <t>По фактическим расходам согласно заключенному договору с ТОО "ДАР-плюс", а также в связи с  заниженной в утвержденной тарифной смете суммы по данной статье.</t>
  </si>
  <si>
    <t>Отклонения нет</t>
  </si>
  <si>
    <t>Договор с ТОО "ТЮФ Рейнланд Казахстан" на проведение надзорного аудита СМК в 2021 году заключен на сумму выше, чем заложено в тарифной смете.</t>
  </si>
  <si>
    <t>Отклонение в пределах допустимого уровня.
За счет увеличения объемов потребления,  а также за счет снижения с 01.08.2021 г. тарифа  на услуги  по передаче и распределению ТЭ  ТОО "ПТС"</t>
  </si>
  <si>
    <t>Отклонение,
%</t>
  </si>
  <si>
    <t>Отчет об исполнении тарифной сметы на услуги по снабжению тепловой энергией г. Павлодар ТОО "Павлодарэнергосбыт"</t>
  </si>
  <si>
    <t>Покупная энергия в горячей воде от ТЭЦ-1 АО "Алюминий Казахстана", ТЭЦ-3 АО "ПАВЛОДАРЭНЕРГО"</t>
  </si>
  <si>
    <t>Покупная энергия в паре от ТЭЦ-3 АО "ПАВЛОДАРЭНЕРГО"</t>
  </si>
  <si>
    <t>1) За счет увеличения объемов потребления ТЭ прочими потребителями;
2) За счет снижения с 01.08.2021 г. тарифа  АО "ПАВЛОДАРЭНЕРГО" на производство тепловой энергии  от ТЭЦ-2,3.</t>
  </si>
  <si>
    <t>1) За счет увеличения  фактического объема потребления по прямым потребителям от ТЭЦ-3 АО «ПАВЛОДАРЭНЕРГО», обусловлено увеличением объемов потребления следующих потребителей: ТОО «Компания Нефтехим LTD», ТОО "Эр Ликид Мунай Тех Газ";
2) За счет снижения с 01.08.2021 г. тарифа  АО "ПАВЛОДАРЭНЕРГО" на производство тепловой энергии  от ТЭЦ-3.</t>
  </si>
  <si>
    <t>Увеличение объемов потребления обусловлено понижением температуры наружного воздуха в сравнении с 2019 годом: 
     - за январь 2021г. (-18,9ºС) ниже, чем  январь 2019г. (-16,47ºС); 
     - за март 2021г. (-5,67 ºС) ниже, чем март 2019г.  (-2,14ºС);
     - за октябрь 2021г. (+4,6ºС) ниже, чем октябрь 2019г. (+9,09ºС).</t>
  </si>
  <si>
    <t>По фактическим расходам (пломбы свинцовые, леска).</t>
  </si>
  <si>
    <t>Перерасход, в связи с тем, что при утверждении тарифной сметы уполномоченным органом затраты были приняты не в полном объеме, при подаче заявки на утверждение тарифов и тарифных смет затраты по данной статье заявлены в размере 8 245 тыс. тенге, но приняты к утверждению 4 954 тыс. тенге.</t>
  </si>
  <si>
    <t>Перерасход, в связи с тем, что при утверждении тарифной сметы уполномоченным органом затраты были приняты не в полном объеме. При подаче заявки на утверждение тарифов затраты на оплату труда с отчислениями были заявлены в сумме 250 224 тыс. тенге, средняя заработная плата работника 140 840 тенге. В утвержденном тарифе средняя заработная плата составила 67 984 тенге. По факту средняя заработная плата работников за 2021 год составила 134 983 тенге.</t>
  </si>
  <si>
    <t xml:space="preserve">Перерасход, в связи с тем, что при утверждении тарифной сметы уполномоченным органом затраты были приняты не в полном объеме, при подаче заявки на утверждение тарифов и тарифных смет затраты по данной статье заявлены в размере 16 146 тыс. тенге, но приняты к утверждению 6 822 тыс. тенге. А также в связи с вводом в эксплуатацию основных средств согласно мероприятиям по Инвестиционной программе.  </t>
  </si>
  <si>
    <t>В связи с увеличением цен на услуги по предоставлению транспорта в 2021 году, а также в связи с  заниженной в утвержденной тарифной смете суммы по данной статье.</t>
  </si>
  <si>
    <t>Прибыль по ТС получена в результате:  
• увеличения объёмов реализации тепловой энергии,  произошло из-за понижения температуры наружного воздуха в сравнении с 2019 годом ;
• ввода в эксплуатацию новых МЖД;
• включения в тарифную смету на 2021 год компенсации убытков от применения дифференцированных тарифов за период 2016-2020 годы.</t>
  </si>
  <si>
    <t>Убытки от применения дифференцированных тарифов за 2021 год</t>
  </si>
  <si>
    <t>Увеличение фактического объема потребления по прямым потребителям пара от ТЭЦ-3 АО «ПАВЛОДАРЭНЕРГО»  в паре обусловлено увеличением объемов потребления следующих потребителей:  ТОО "Ертыс сервис",  ТОО «Компания Нефтехим LTD».</t>
  </si>
  <si>
    <t>За счет увеличения  стоимости арендной платы за нежилые помещения  в 2021 году.</t>
  </si>
  <si>
    <r>
      <t>Есептік кезең</t>
    </r>
    <r>
      <rPr>
        <u val="single"/>
        <sz val="12"/>
        <rFont val="Times New Roman"/>
        <family val="1"/>
      </rPr>
      <t>2021 год</t>
    </r>
  </si>
  <si>
    <t xml:space="preserve">Ұсынған: "Павлодарэнергосбыт" ЖШС </t>
  </si>
  <si>
    <t xml:space="preserve">Нысан қайда ұсынылады: Қазақстан Республикасы Ұлттық экономика министрлігінің Табиғи монополияларды реттеу комитетіне </t>
  </si>
  <si>
    <t xml:space="preserve">Ұсыну мерзімі- жыл сайын есептік кезеңнен кейінгі жылдың 01 мамырынан кешіктірмей </t>
  </si>
  <si>
    <t xml:space="preserve">Өлшем бірлігі </t>
  </si>
  <si>
    <t>2021 жылға бекітілген тарифтік сметада қарастырылған</t>
  </si>
  <si>
    <t>2021 жылғы тарифтік сметаның нақты қалыптасқан көрсеткіштері</t>
  </si>
  <si>
    <t>Ауытқу,
%</t>
  </si>
  <si>
    <t xml:space="preserve">Ауытқудың себептері </t>
  </si>
  <si>
    <t xml:space="preserve">Барлығы </t>
  </si>
  <si>
    <t>Орталықтандырылған жылумен жабдықтау желілеріне қосылмаған тұтынушылар үшін</t>
  </si>
  <si>
    <t>Ыстық су ЖЭО -1</t>
  </si>
  <si>
    <t xml:space="preserve">16 жұп,ЖЭО-2,3 </t>
  </si>
  <si>
    <t xml:space="preserve">Ыстық су ЖЭО-2,3 </t>
  </si>
  <si>
    <t xml:space="preserve">Ыстық су ЖЭО-1 </t>
  </si>
  <si>
    <t xml:space="preserve">16 жұп, ЖЭО-2,3 </t>
  </si>
  <si>
    <t>Тауарларды өндіруге және қызметтерді ұсынуға арналған шығындар, барлығы</t>
  </si>
  <si>
    <t>оның ішінде :</t>
  </si>
  <si>
    <t xml:space="preserve">Орталықтандырылған жылумен жабдықтау үшін ыстық суда сатып алынатын энергия </t>
  </si>
  <si>
    <t xml:space="preserve">1) Басқа тұтынушлардың ЖЭ тұтыну көлемін ұлғайту есебінен;2) 2021ж.01.08 бастап ЖЭО -2,3 жылу энергиясын өндіруге «ПАВЛОДАРЭНЕРГО»  АҚ тарифын төмендету есебінен                                                          </t>
  </si>
  <si>
    <t xml:space="preserve"> "Алюминий Казахстана" АҚ ЖЭО-1,,  "ПАВЛОДАРЭНЕРГО"АҚ ЖЭО -3 тен ыстық суда сатып алу энергиясы</t>
  </si>
  <si>
    <t>1) "Павлодарэнерго"АҚ ЖЭО-3-тен тікелей тұтынушылар бойынша нақты тұтыну көлемінің ұлғаюы есебінен келесі тұтынушылардың тұтыну көлемінің ұлғаюына байланысты: "Компания Нефтехим LTD"ЖШС, "Эр Ликид Мунай Тех Газ" ЖШС; 2) 2021ж.01.08 бастап "Павлодарэнерго"</t>
  </si>
  <si>
    <t xml:space="preserve"> "ПАВЛОДАРЭНЕРГО" АҚ ЖЭО-3 тен жұпта сатып алынатын энергия </t>
  </si>
  <si>
    <t xml:space="preserve"> «ПАВЛОДАРЭНЕРГО»  АҚ ТЭЦ-3 бу тікелей тұтынушылары бойынша нақты тұтыну көлемінің артуы келесі тұтынушылардың тұтыну көлемінің ұлғаюымен байланысты: "Ертыс сервис" ЖШС,   «Компания Нефтехим LTD»ЖШС.</t>
  </si>
  <si>
    <t xml:space="preserve">"Рұқсат етілген деңгей шегінде ауытқу. Тұтыну көлемін ұлғайту есебінен, сондай-ақ,                              2021ж. 01.08 "ПЖЖ" ЖШС ЖЭ беру және бөлу жөніндегі қызметтерге тарифті төмендеті есебінен </t>
  </si>
  <si>
    <t xml:space="preserve">Кезең шығыстары </t>
  </si>
  <si>
    <t xml:space="preserve">Пайдалануға арналған материалдар </t>
  </si>
  <si>
    <t xml:space="preserve">АБЖ бойынша материалдары </t>
  </si>
  <si>
    <t>Уәкілетті орган тарифтік сметаны бекіткен кезде шығындар толық көлемде қабылданбауына байланысты, тарифтер мен тарифтік сметаларды бекітуге өтінім берген кезде осы бап бойынша шығындар 8 245 мың теңге мөлшерінде мәлімдеді,бірақ 4 954 мың теңге бекітуге қа</t>
  </si>
  <si>
    <t xml:space="preserve">техникалық қызмет бойынша материалдар </t>
  </si>
  <si>
    <t>Нақты шығыстар бойынша  (қорғасын пломбалары, желісі).</t>
  </si>
  <si>
    <t>Уәкілетті орган тарифтік сметаны бекіткен кезде шығындар толық көлемде қабылданбауына байланысты артық шығыс.Тарифтерді бекітуге өтінім берген кезде аударымдары бар еңбекке ақы төлеу шығындары 250 224 мың теңге сомасында мәлімделді, қызметкердің орташа жа</t>
  </si>
  <si>
    <t xml:space="preserve">Әлеуметтік салық және әлеуметтік сақтандыру </t>
  </si>
  <si>
    <t xml:space="preserve">Уәкілетті орган тарифтік сметаны бекіткен кезде шығындар толық көлемде қабылданбауына байланысты, тарифтер мен тарифтік сметаларды бекітуге өтінім берген кезде осы бап бойынша шығындар 16 146 мың теңге мөлшерінде мәлімделді,бірақ 6 822 мың теңге бекітуге </t>
  </si>
  <si>
    <t xml:space="preserve">Бөгде ұйымдардың қызметтері </t>
  </si>
  <si>
    <t xml:space="preserve">оның ішінде </t>
  </si>
  <si>
    <t xml:space="preserve">көлік бойынша қызметтер </t>
  </si>
  <si>
    <t>2021 жылы көлік ұсыну бойынша қызметтер бағасының өсуіне байланысты, сондай-ақ, осы бап бойнша бекітілген тарифтік сметада төмендетілген сомаға байланысты.</t>
  </si>
  <si>
    <t>Басқа да қызметтер (БКМ, МКМ қызмет көрсету)</t>
  </si>
  <si>
    <t>Жасалған шарттарға сәйкес БКМ, БКМ, оргтехника, электрондық кезек, төлем терминалдарына техникалық қызмет көрсету бойынша нақты қалыптасқан шығындар бойынша, сондай-ақ, осы бап бойынша бекітілген тарифтік сметада төмендетілген сомаға байлансты.</t>
  </si>
  <si>
    <t xml:space="preserve">Басқа қызметтер </t>
  </si>
  <si>
    <t xml:space="preserve">іс-сапар шығыстары </t>
  </si>
  <si>
    <t xml:space="preserve">Әкімшілік басшылықтың  іс-сапарлары  бойынша нақты қалыптасқан шығыстар бойынша  </t>
  </si>
  <si>
    <t>кеңсе және пошта-телеграф шығыстары</t>
  </si>
  <si>
    <t>Бекітілген тарифтік сметада пошта-телеграф шығыстарын алып тастауға байланысты</t>
  </si>
  <si>
    <t>баланыс қызметтері (радио, телефон)</t>
  </si>
  <si>
    <t>Абонентік төлемге,интернетке бағалардың өсуі есебінен, сондай-ақ, осы бап бойынша бекітілген тарифтік сметадада төмендетілген сомаға байланысты.</t>
  </si>
  <si>
    <t xml:space="preserve"> РОS-терминалдар арқылы өтетін төлемдер көлемінің ұлғаюына байланысты, сондай-ақ, осы бап бойынша бекітілген тарифтік сметада төмендетілген сомаға байланысты.</t>
  </si>
  <si>
    <t xml:space="preserve">объектілерді күзету </t>
  </si>
  <si>
    <t>2021 жылы объектілерді күзету жөніндегі қызметтер үшін 1 саға. құнының өсуіне байланысты, сондай-ақ, бап бойынша бекітілген тарифтік сметада төмендетілген сомаға байланысты.</t>
  </si>
  <si>
    <t xml:space="preserve">салық төлемдері және алымдар </t>
  </si>
  <si>
    <t>жер салығы</t>
  </si>
  <si>
    <t xml:space="preserve">Рұқсат етілген деңгей шегіндегі ауытқу </t>
  </si>
  <si>
    <t xml:space="preserve">мүлік салығы </t>
  </si>
  <si>
    <t xml:space="preserve">ҚР СК сәйкес жерге салынатын салықтың белгіленген мөлшерлемесіне сәйкес нақты қалыптасқан көрсеткіштер бойынша </t>
  </si>
  <si>
    <t xml:space="preserve">қызметкерлерді сақтандыру </t>
  </si>
  <si>
    <t>2021 жылға арналған сақтандыру шарты бекітілген тарифтік сметаға қарағанда жоғары сметаға жасалған.</t>
  </si>
  <si>
    <t xml:space="preserve">үй-жайды жалға беру </t>
  </si>
  <si>
    <t xml:space="preserve"> 2021 жылы "ПАВЛОДАРЭНЕРГО" АҚ-да тұрғын емес үй-жайлар үшін жалдау ақысының құнын ұлғайту есебінен  </t>
  </si>
  <si>
    <t xml:space="preserve">Компьютерлік техникаға техникалық қызмет көрсету </t>
  </si>
  <si>
    <t>2021 жылы ауыз суды жеткізуге "ОргПластКомплект" ЖШС-мен шарт тарифтік сметада көрсетілгеннен жоғары сомаға жасалған.</t>
  </si>
  <si>
    <t xml:space="preserve">ақпараттық тіркеу қызметтері </t>
  </si>
  <si>
    <t>КО-да электрондық -сауда алаңын пайдалануға шығындар салынбаған, 2021 жылғы желтоқсанда "ЕвразианТеК "ЖШС-мен ЭСА пайдалануға шарт жасалған. Сондай-ақ, осы бап бойынша бекітілген тарифтік сметада төмендетілген сомаға байланысты.</t>
  </si>
  <si>
    <t xml:space="preserve">нормативтік-техникалық әдебиеттерді сатып алу </t>
  </si>
  <si>
    <t>"Казпочта" АҚ-мен "АлашПресс" ЖШС-мен жасалған шарттарды сәйкес нақты шығыстар бойынша,сондай-ақ осы бап бойынша бекітілген тарифтік сметада төмендетілген сомаға байланысты</t>
  </si>
  <si>
    <t xml:space="preserve">бланк өнімдерін дайындау </t>
  </si>
  <si>
    <t xml:space="preserve"> "ДАР-плюс" ЖШС-мен жасалған шартқа сәйкес нақты шығыстар бойынша, сондай-ақ, осы бап бойынша бекітілген тарифтік сметада төмендетілген сомаға байланысты </t>
  </si>
  <si>
    <t xml:space="preserve">аудиторлық қызметтер </t>
  </si>
  <si>
    <t xml:space="preserve">СМЖ қадағалау аудитін жүргізуге "ТЮФ Рейнланд Казахстан"  ЖШС-мен 2021 жылы шарт тарифтік сметада көрсетілгеннен жоғарғы сомаға жасалды. </t>
  </si>
  <si>
    <t>Ауытқу жоқ</t>
  </si>
  <si>
    <t xml:space="preserve">барлық шығындар </t>
  </si>
  <si>
    <t>Кіріс</t>
  </si>
  <si>
    <t>КО бойынша пайда болған:
• 2019 жылмен салыстырғанда сыртқы ауа температурасының төмендеуіне байланысты жылу энергиясын сату көлемінің ұлғаюы;
• жаңа КПТҮ пайдалануға беру;
• 2016-2020 жылдар кезеңінде сараланған тарифтерді қолданудан болған шығындардың ө</t>
  </si>
  <si>
    <t xml:space="preserve">Қолданысқа енгізілген активтердің реттелетін базасы (РБА) </t>
  </si>
  <si>
    <t xml:space="preserve">Сараланған тарифтерді қолдануға байланысты алынбаған кіріс сомасы </t>
  </si>
  <si>
    <t xml:space="preserve">2021 жылға сараланған тарифтерді қолданудан болған шығындар </t>
  </si>
  <si>
    <t>Барлық кірістер</t>
  </si>
  <si>
    <t>Жылу энергиясының пайдалы демалысы</t>
  </si>
  <si>
    <t xml:space="preserve">ҚҚС есебінсіз тариф </t>
  </si>
  <si>
    <t>Орталықтандырылған жылумен жабдықтау желілеріне қосылған тұтынушылар үшін көлемдер</t>
  </si>
  <si>
    <t xml:space="preserve">Жеке тұлғалар </t>
  </si>
  <si>
    <t xml:space="preserve">Ауытқу жоқ </t>
  </si>
  <si>
    <t xml:space="preserve">Басқа тұтынушылар </t>
  </si>
  <si>
    <t xml:space="preserve">Тұтыну көлемінің ұлғаюы 2019 жылмен салыстырғанда сыртқы ауа температурасының төмендеуіне байланысты:  
     -2021ж.қаңтарда   (-18,9ºС) 2019 ж. қаңтарға  (-16,47ºС) қарағанда төмен; 
     - 2021 ж. наурызда (-5,67 ºС) 2019 ж. наурызға (12,14ºС) қарағанда төмен;                                             -2021жылғы қазанда (+4,6ºС) 2019 ж.қазанынан (+4,6ºС)  төмен; </t>
  </si>
  <si>
    <t xml:space="preserve">Бюджеттік ұйымдар </t>
  </si>
  <si>
    <t xml:space="preserve">Рұқсат етілген деңгей шегінде ауытқу </t>
  </si>
  <si>
    <t xml:space="preserve">үйге ортақ жылу энергиясын есептеу аспаптары бар халық тобына жататын жеке тұлғалар </t>
  </si>
  <si>
    <t xml:space="preserve">2021 жылда келесі тарифтер әрекет етті:
 - 2021ж.01.01 бастап 2021ж.31.07 дейін Павлодар облысы бойынша "ТМД" РММ2020 ж.27.11  № 94 НҚ  бұйрығымен бекітілген;                                                                  - 2021ж.01.08 бастап 2021ж.31.12 дейін Павлодар облысы бойынша "ТМД" РММ 2021ж.23.07 № 69НҚ бұйрығымен бекітілген;  </t>
  </si>
  <si>
    <t>жылу энергиясын есепке алудың ортақ аспаптарын орнатуға үйге ортақ аспаптарын орнатуға техникалық мүмкіндігі жоқ, ескі, авариялық тұрғын үй-жайларда, барак үлгісіндегі үйлерде тұратын халық тобына жататын жеке тұлғалар үшін</t>
  </si>
  <si>
    <t xml:space="preserve">үйге ортақ жылу энергиясын есептеу аспаптары бар өзге де тұтынушылар </t>
  </si>
  <si>
    <t>үйге ортақ жылу энергиясын есепке алу аспаптары жоқ өзге де тұтынумшлыары үшін</t>
  </si>
  <si>
    <t xml:space="preserve">жылу энергиясын есепке алудың ортақ аспаптарын орнатуға үйге ортақ аспаптарын орнатуға техникалық мүмкіндігі жоқ, ескі, авариялық тұрғын үй-жайларда, барак үлгісіндегі үйлерде орналасқан өзге де тұтынушлар үшін </t>
  </si>
  <si>
    <t>үйге ортақ жылу энергиясын есепке алу аспаптары бар бюджеттік ұйымдар үшін</t>
  </si>
  <si>
    <t xml:space="preserve">үйге ортақ жылу энергиясын есепке алу аспаптары жоқ бюджеттік ұйымдар үшін </t>
  </si>
  <si>
    <t xml:space="preserve">жылу энергиясын есепке алудың үйге ортақ аспаптарын орнатуға техникалық мүмкіндігі жоқ ескі, авариялық үй-жайларда, барак үлгісіндегі үйлерде орналасқан бюджеттік ұйымдар үшін </t>
  </si>
  <si>
    <r>
      <t>Орындаушының тегі және телефоны   С.О.</t>
    </r>
    <r>
      <rPr>
        <u val="single"/>
        <sz val="12"/>
        <rFont val="Times New Roman"/>
        <family val="1"/>
      </rPr>
      <t>Садыкова  т.39-96-71</t>
    </r>
  </si>
  <si>
    <t xml:space="preserve">                                 Бас директор                                                                                                                                           </t>
  </si>
  <si>
    <t xml:space="preserve"> Т.Ғ.Арғынов </t>
  </si>
  <si>
    <t xml:space="preserve">Т.Ғ. Арғынов </t>
  </si>
  <si>
    <t>Күні   "___  "___________2022жыл</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</si>
</sst>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00"/>
    <numFmt numFmtId="173" formatCode="0.00000000"/>
    <numFmt numFmtId="174" formatCode="0.000000"/>
    <numFmt numFmtId="175" formatCode="0.00000"/>
    <numFmt numFmtId="176" formatCode="0.0000"/>
    <numFmt numFmtId="177" formatCode="0.000"/>
    <numFmt numFmtId="178" formatCode="#,##0.0"/>
    <numFmt numFmtId="179" formatCode="#,##0.000"/>
    <numFmt numFmtId="180" formatCode="0.0"/>
    <numFmt numFmtId="181" formatCode="#,##0.0000"/>
    <numFmt numFmtId="182" formatCode="#,##0.00000"/>
    <numFmt numFmtId="183" formatCode="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_-* #,##0.00_-;\-* #,##0.00_-;_-* &quot;-&quot;??_-;_-@_-"/>
    <numFmt numFmtId="189" formatCode="_-* #,##0_-;\-* #,##0_-;_-* &quot;-&quot;??_-;_-@_-"/>
    <numFmt numFmtId="190" formatCode="_-* #,##0.000_-;\-* #,##0.000_-;_-* &quot;-&quot;??_-;_-@_-"/>
    <numFmt numFmtId="191" formatCode="_-* #,##0.0_р_._-;\-* #,##0.0_р_._-;_-* &quot;-&quot;??_р_._-;_-@_-"/>
    <numFmt numFmtId="192" formatCode="_-* #,##0_р_._-;\-* #,##0_р_._-;_-* &quot;-&quot;??_р_._-;_-@_-"/>
    <numFmt numFmtId="193" formatCode="_-* #,##0.000_р_._-;\-* #,##0.000_р_._-;_-* &quot;-&quot;??_р_._-;_-@_-"/>
    <numFmt numFmtId="194" formatCode="0.000%"/>
    <numFmt numFmtId="195" formatCode="0.0000%"/>
  </numFmts>
  <fonts count="73">
    <font>
      <sz val="10"/>
      <name val="Arial Cyr"/>
      <family val="0"/>
    </font>
    <font>
      <u val="single"/>
      <sz val="10"/>
      <color indexed="12"/>
      <name val="Arial Cyr"/>
      <family val="0"/>
    </font>
    <font>
      <u val="single"/>
      <sz val="10"/>
      <color indexed="36"/>
      <name val="Arial Cyr"/>
      <family val="0"/>
    </font>
    <font>
      <sz val="12"/>
      <name val="Arial Cyr"/>
      <family val="0"/>
    </font>
    <font>
      <sz val="12"/>
      <name val="Times New Roman"/>
      <family val="1"/>
    </font>
    <font>
      <b/>
      <sz val="12"/>
      <name val="Times New Roman"/>
      <family val="1"/>
    </font>
    <font>
      <b/>
      <sz val="12"/>
      <name val="Arial Cyr"/>
      <family val="0"/>
    </font>
    <font>
      <sz val="11.5"/>
      <name val="Times New Roman"/>
      <family val="1"/>
    </font>
    <font>
      <u val="single"/>
      <sz val="12"/>
      <name val="Times New Roman"/>
      <family val="1"/>
    </font>
    <font>
      <sz val="12"/>
      <color indexed="9"/>
      <name val="Times New Roman"/>
      <family val="1"/>
    </font>
    <font>
      <sz val="14"/>
      <name val="Times New Roman"/>
      <family val="1"/>
    </font>
    <font>
      <b/>
      <sz val="9"/>
      <name val="Tahoma"/>
      <family val="2"/>
    </font>
    <font>
      <b/>
      <sz val="12"/>
      <color indexed="9"/>
      <name val="Times New Roman"/>
      <family val="1"/>
    </font>
    <font>
      <sz val="12"/>
      <color indexed="9"/>
      <name val="Arial Cyr"/>
      <family val="0"/>
    </font>
    <font>
      <b/>
      <sz val="12"/>
      <color indexed="10"/>
      <name val="Times New Roman"/>
      <family val="1"/>
    </font>
    <font>
      <sz val="12"/>
      <color indexed="10"/>
      <name val="Times New Roman"/>
      <family val="1"/>
    </font>
    <font>
      <i/>
      <sz val="12"/>
      <color indexed="10"/>
      <name val="Times New Roman"/>
      <family val="1"/>
    </font>
    <font>
      <sz val="11.5"/>
      <color indexed="10"/>
      <name val="Times New Roman"/>
      <family val="1"/>
    </font>
    <font>
      <sz val="12"/>
      <color indexed="10"/>
      <name val="Arial Cyr"/>
      <family val="0"/>
    </font>
    <font>
      <sz val="14"/>
      <color indexed="9"/>
      <name val="Times New Roman"/>
      <family val="1"/>
    </font>
    <font>
      <i/>
      <sz val="12"/>
      <name val="Times New Roman"/>
      <family val="1"/>
    </font>
    <font>
      <sz val="8"/>
      <name val="Tahoma"/>
      <family val="2"/>
    </font>
    <font>
      <b/>
      <sz val="8"/>
      <name val="Tahoma"/>
      <family val="2"/>
    </font>
    <font>
      <sz val="14"/>
      <color indexed="10"/>
      <name val="Times New Roman"/>
      <family val="1"/>
    </font>
    <font>
      <b/>
      <sz val="14"/>
      <color indexed="10"/>
      <name val="Times New Roman"/>
      <family val="1"/>
    </font>
    <font>
      <sz val="10"/>
      <color indexed="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b/>
      <sz val="12"/>
      <color theme="0"/>
      <name val="Times New Roman"/>
      <family val="1"/>
    </font>
    <font>
      <sz val="12"/>
      <color theme="0"/>
      <name val="Arial Cyr"/>
      <family val="0"/>
    </font>
    <font>
      <b/>
      <sz val="12"/>
      <color rgb="FFFF0000"/>
      <name val="Times New Roman"/>
      <family val="1"/>
    </font>
    <font>
      <i/>
      <sz val="12"/>
      <color rgb="FFFF0000"/>
      <name val="Times New Roman"/>
      <family val="1"/>
    </font>
    <font>
      <sz val="11.5"/>
      <color rgb="FFFF0000"/>
      <name val="Times New Roman"/>
      <family val="1"/>
    </font>
    <font>
      <sz val="12"/>
      <color rgb="FFFF0000"/>
      <name val="Times New Roman"/>
      <family val="1"/>
    </font>
    <font>
      <sz val="12"/>
      <color rgb="FFFF0000"/>
      <name val="Arial Cyr"/>
      <family val="0"/>
    </font>
    <font>
      <sz val="14"/>
      <color rgb="FFFF0000"/>
      <name val="Times New Roman"/>
      <family val="1"/>
    </font>
    <font>
      <b/>
      <sz val="14"/>
      <color rgb="FFFF0000"/>
      <name val="Times New Roman"/>
      <family val="1"/>
    </font>
    <font>
      <sz val="10"/>
      <color rgb="FFFF0000"/>
      <name val="Times New Roman"/>
      <family val="1"/>
    </font>
    <font>
      <b/>
      <sz val="8"/>
      <name val="Arial Cyr"/>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medium"/>
      <right style="medium"/>
      <top>
        <color indexed="63"/>
      </top>
      <bottom>
        <color indexed="63"/>
      </bottom>
    </border>
    <border>
      <left style="medium"/>
      <right style="medium"/>
      <top style="thin"/>
      <bottom style="thin"/>
    </border>
    <border>
      <left style="medium"/>
      <right style="medium"/>
      <top>
        <color indexed="63"/>
      </top>
      <bottom style="thin"/>
    </border>
    <border>
      <left style="medium"/>
      <right style="medium"/>
      <top style="medium"/>
      <bottom>
        <color indexed="63"/>
      </bottom>
    </border>
    <border>
      <left>
        <color indexed="63"/>
      </left>
      <right style="medium"/>
      <top style="medium"/>
      <bottom>
        <color indexed="63"/>
      </bottom>
    </border>
    <border>
      <left>
        <color indexed="63"/>
      </left>
      <right style="medium"/>
      <top style="medium"/>
      <bottom style="medium"/>
    </border>
    <border>
      <left style="medium"/>
      <right style="thin"/>
      <top style="medium"/>
      <bottom style="medium"/>
    </border>
    <border>
      <left style="medium"/>
      <right>
        <color indexed="63"/>
      </right>
      <top style="medium"/>
      <bottom>
        <color indexed="63"/>
      </bottom>
    </border>
    <border>
      <left style="medium"/>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style="medium"/>
      <top style="medium"/>
      <bottom style="medium"/>
    </border>
    <border>
      <left>
        <color indexed="63"/>
      </left>
      <right>
        <color indexed="63"/>
      </right>
      <top style="medium"/>
      <bottom>
        <color indexed="63"/>
      </bottom>
    </border>
    <border>
      <left style="medium"/>
      <right>
        <color indexed="63"/>
      </right>
      <top style="medium"/>
      <bottom style="thin"/>
    </border>
    <border>
      <left style="medium"/>
      <right style="medium"/>
      <top style="medium"/>
      <bottom style="thin"/>
    </border>
    <border>
      <left>
        <color indexed="63"/>
      </left>
      <right style="medium"/>
      <top style="medium"/>
      <bottom style="thin"/>
    </border>
    <border>
      <left>
        <color indexed="63"/>
      </left>
      <right>
        <color indexed="63"/>
      </right>
      <top style="medium"/>
      <bottom style="thin"/>
    </border>
    <border>
      <left style="medium"/>
      <right style="thin"/>
      <top style="medium"/>
      <bottom style="thin"/>
    </border>
    <border>
      <left>
        <color indexed="63"/>
      </left>
      <right style="thin"/>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color indexed="63"/>
      </left>
      <right>
        <color indexed="63"/>
      </right>
      <top>
        <color indexed="63"/>
      </top>
      <bottom style="thin"/>
    </border>
    <border>
      <left style="medium"/>
      <right style="thin"/>
      <top>
        <color indexed="63"/>
      </top>
      <bottom style="thin"/>
    </border>
    <border>
      <left>
        <color indexed="63"/>
      </left>
      <right style="medium"/>
      <top>
        <color indexed="63"/>
      </top>
      <bottom style="thin"/>
    </border>
    <border>
      <left style="medium"/>
      <right style="medium"/>
      <top style="thin"/>
      <bottom>
        <color indexed="63"/>
      </bottom>
    </border>
    <border>
      <left style="medium"/>
      <right>
        <color indexed="63"/>
      </right>
      <top>
        <color indexed="63"/>
      </top>
      <bottom style="thin"/>
    </border>
    <border>
      <left>
        <color indexed="63"/>
      </left>
      <right style="thin"/>
      <top>
        <color indexed="63"/>
      </top>
      <bottom style="thin"/>
    </border>
    <border>
      <left style="medium"/>
      <right style="thin"/>
      <top>
        <color indexed="63"/>
      </top>
      <bottom>
        <color indexed="63"/>
      </bottom>
    </border>
    <border>
      <left>
        <color indexed="63"/>
      </left>
      <right>
        <color indexed="63"/>
      </right>
      <top style="thin"/>
      <bottom>
        <color indexed="63"/>
      </bottom>
    </border>
    <border>
      <left style="thin"/>
      <right style="medium"/>
      <top style="thin"/>
      <bottom style="medium"/>
    </border>
    <border>
      <left style="medium"/>
      <right style="medium"/>
      <top style="thin"/>
      <bottom style="medium"/>
    </border>
    <border>
      <left style="medium"/>
      <right>
        <color indexed="63"/>
      </right>
      <top style="thin"/>
      <bottom>
        <color indexed="63"/>
      </bottom>
    </border>
    <border>
      <left style="medium"/>
      <right style="thin"/>
      <top style="thin"/>
      <bottom>
        <color indexed="63"/>
      </bottom>
    </border>
    <border>
      <left style="thin"/>
      <right style="medium"/>
      <top style="thin"/>
      <bottom>
        <color indexed="63"/>
      </bottom>
    </border>
    <border>
      <left style="thin"/>
      <right>
        <color indexed="63"/>
      </right>
      <top style="thin"/>
      <bottom style="medium"/>
    </border>
    <border>
      <left style="thin"/>
      <right style="medium"/>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thin"/>
    </border>
    <border>
      <left style="medium"/>
      <right>
        <color indexed="63"/>
      </right>
      <top style="thin"/>
      <bottom style="medium"/>
    </border>
    <border>
      <left style="medium"/>
      <right style="thin"/>
      <top style="thin"/>
      <bottom style="medium"/>
    </border>
    <border>
      <left style="medium"/>
      <right>
        <color indexed="63"/>
      </right>
      <top>
        <color indexed="63"/>
      </top>
      <bottom style="medium"/>
    </border>
    <border>
      <left>
        <color indexed="63"/>
      </left>
      <right style="medium"/>
      <top style="thin"/>
      <bottom style="medium"/>
    </border>
    <border>
      <left>
        <color indexed="63"/>
      </left>
      <right>
        <color indexed="63"/>
      </right>
      <top>
        <color indexed="63"/>
      </top>
      <bottom style="medium"/>
    </border>
    <border>
      <left style="medium"/>
      <right style="thin"/>
      <top>
        <color indexed="63"/>
      </top>
      <bottom style="medium"/>
    </border>
    <border>
      <left>
        <color indexed="63"/>
      </left>
      <right style="medium"/>
      <top>
        <color indexed="63"/>
      </top>
      <bottom style="medium"/>
    </border>
    <border>
      <left style="medium"/>
      <right style="medium"/>
      <top>
        <color indexed="63"/>
      </top>
      <bottom style="mediu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0" fillId="32" borderId="0" applyNumberFormat="0" applyBorder="0" applyAlignment="0" applyProtection="0"/>
  </cellStyleXfs>
  <cellXfs count="443">
    <xf numFmtId="0" fontId="0" fillId="0" borderId="0" xfId="0" applyAlignment="1">
      <alignment/>
    </xf>
    <xf numFmtId="0" fontId="3" fillId="0" borderId="0" xfId="0" applyFont="1" applyFill="1" applyAlignment="1">
      <alignment/>
    </xf>
    <xf numFmtId="4" fontId="4" fillId="0" borderId="0" xfId="0" applyNumberFormat="1" applyFont="1" applyFill="1" applyBorder="1" applyAlignment="1">
      <alignment vertical="center"/>
    </xf>
    <xf numFmtId="4" fontId="4" fillId="0" borderId="10" xfId="0" applyNumberFormat="1" applyFont="1" applyFill="1" applyBorder="1" applyAlignment="1">
      <alignment vertical="center"/>
    </xf>
    <xf numFmtId="4" fontId="4" fillId="0" borderId="11" xfId="0" applyNumberFormat="1" applyFont="1" applyFill="1" applyBorder="1" applyAlignment="1">
      <alignment vertical="center"/>
    </xf>
    <xf numFmtId="0" fontId="5" fillId="0" borderId="0" xfId="0" applyFont="1" applyFill="1" applyAlignment="1">
      <alignment/>
    </xf>
    <xf numFmtId="3" fontId="3" fillId="0" borderId="0" xfId="0" applyNumberFormat="1" applyFont="1" applyFill="1" applyAlignment="1">
      <alignment/>
    </xf>
    <xf numFmtId="0" fontId="5" fillId="0" borderId="0" xfId="0" applyFont="1" applyFill="1" applyBorder="1" applyAlignment="1">
      <alignment/>
    </xf>
    <xf numFmtId="4" fontId="4" fillId="0" borderId="12" xfId="0" applyNumberFormat="1" applyFont="1" applyFill="1" applyBorder="1" applyAlignment="1">
      <alignment vertical="center"/>
    </xf>
    <xf numFmtId="0" fontId="4" fillId="0" borderId="13" xfId="0" applyFont="1" applyFill="1" applyBorder="1" applyAlignment="1">
      <alignment vertical="center" wrapText="1"/>
    </xf>
    <xf numFmtId="0" fontId="4" fillId="0" borderId="0" xfId="0" applyFont="1" applyFill="1" applyAlignment="1">
      <alignment vertical="center"/>
    </xf>
    <xf numFmtId="4" fontId="3" fillId="0" borderId="0" xfId="0" applyNumberFormat="1" applyFont="1" applyFill="1" applyAlignment="1">
      <alignment/>
    </xf>
    <xf numFmtId="0" fontId="6" fillId="0" borderId="0" xfId="0" applyFont="1" applyFill="1" applyAlignment="1">
      <alignment/>
    </xf>
    <xf numFmtId="0" fontId="4" fillId="33" borderId="0" xfId="0" applyFont="1" applyFill="1" applyAlignment="1">
      <alignment/>
    </xf>
    <xf numFmtId="0" fontId="3" fillId="33" borderId="0" xfId="0" applyFont="1" applyFill="1" applyAlignment="1">
      <alignment/>
    </xf>
    <xf numFmtId="2" fontId="3" fillId="33" borderId="0" xfId="0" applyNumberFormat="1" applyFont="1" applyFill="1" applyAlignment="1">
      <alignment/>
    </xf>
    <xf numFmtId="0" fontId="5" fillId="33" borderId="0" xfId="0" applyFont="1" applyFill="1" applyAlignment="1">
      <alignment horizontal="left" vertical="center"/>
    </xf>
    <xf numFmtId="0" fontId="4" fillId="33" borderId="0" xfId="0" applyFont="1" applyFill="1" applyAlignment="1">
      <alignment vertical="center"/>
    </xf>
    <xf numFmtId="0" fontId="7" fillId="0" borderId="14" xfId="0" applyFont="1" applyFill="1" applyBorder="1" applyAlignment="1">
      <alignment vertical="center" wrapText="1"/>
    </xf>
    <xf numFmtId="0" fontId="4" fillId="0" borderId="10" xfId="0" applyFont="1" applyFill="1" applyBorder="1" applyAlignment="1">
      <alignment horizontal="center" vertical="center"/>
    </xf>
    <xf numFmtId="0" fontId="7" fillId="0" borderId="15" xfId="0" applyFont="1" applyFill="1" applyBorder="1" applyAlignment="1">
      <alignment vertical="center" wrapText="1"/>
    </xf>
    <xf numFmtId="2" fontId="4" fillId="33" borderId="0" xfId="0" applyNumberFormat="1" applyFont="1" applyFill="1" applyAlignment="1">
      <alignment vertical="center"/>
    </xf>
    <xf numFmtId="0" fontId="5" fillId="33" borderId="0" xfId="0" applyFont="1" applyFill="1" applyAlignment="1">
      <alignment vertical="center"/>
    </xf>
    <xf numFmtId="0" fontId="4" fillId="33" borderId="0" xfId="0" applyFont="1" applyFill="1" applyAlignment="1">
      <alignment horizontal="left" vertical="center"/>
    </xf>
    <xf numFmtId="0" fontId="5" fillId="33" borderId="0" xfId="0" applyFont="1" applyFill="1" applyAlignment="1">
      <alignment horizontal="center" vertical="center" wrapText="1"/>
    </xf>
    <xf numFmtId="0" fontId="4" fillId="0" borderId="0" xfId="0" applyFont="1" applyFill="1" applyBorder="1" applyAlignment="1">
      <alignment horizontal="left"/>
    </xf>
    <xf numFmtId="0" fontId="4" fillId="0" borderId="0" xfId="0" applyFont="1" applyFill="1" applyAlignment="1">
      <alignment horizontal="left"/>
    </xf>
    <xf numFmtId="0" fontId="5" fillId="0" borderId="0" xfId="0" applyFont="1" applyFill="1" applyAlignment="1">
      <alignment horizontal="left"/>
    </xf>
    <xf numFmtId="0" fontId="4" fillId="33" borderId="0" xfId="0" applyFont="1" applyFill="1" applyAlignment="1">
      <alignment horizontal="left" vertical="center" wrapText="1"/>
    </xf>
    <xf numFmtId="0" fontId="4" fillId="33" borderId="0" xfId="0" applyFont="1" applyFill="1" applyAlignment="1">
      <alignment horizontal="center" vertical="center" wrapText="1"/>
    </xf>
    <xf numFmtId="2" fontId="5" fillId="33" borderId="0" xfId="0" applyNumberFormat="1" applyFont="1" applyFill="1" applyAlignment="1">
      <alignment vertical="center"/>
    </xf>
    <xf numFmtId="0" fontId="5" fillId="0" borderId="0" xfId="0" applyFont="1" applyFill="1" applyAlignment="1">
      <alignment vertical="center"/>
    </xf>
    <xf numFmtId="0" fontId="5" fillId="33" borderId="0" xfId="0" applyFont="1" applyFill="1" applyAlignment="1">
      <alignment horizontal="center" vertical="center"/>
    </xf>
    <xf numFmtId="0" fontId="4" fillId="0" borderId="0" xfId="0" applyFont="1" applyFill="1" applyAlignment="1">
      <alignment horizontal="center" vertical="center"/>
    </xf>
    <xf numFmtId="3" fontId="5" fillId="33" borderId="0" xfId="0" applyNumberFormat="1" applyFont="1" applyFill="1" applyAlignment="1">
      <alignment vertical="center"/>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5" fillId="0" borderId="20"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vertical="center" wrapText="1"/>
    </xf>
    <xf numFmtId="0" fontId="5" fillId="0" borderId="28" xfId="0" applyFont="1" applyFill="1" applyBorder="1" applyAlignment="1">
      <alignment horizontal="center" vertical="center" wrapText="1"/>
    </xf>
    <xf numFmtId="3" fontId="5" fillId="0" borderId="29" xfId="0" applyNumberFormat="1" applyFont="1" applyFill="1" applyBorder="1" applyAlignment="1">
      <alignment vertical="center"/>
    </xf>
    <xf numFmtId="3" fontId="5" fillId="0" borderId="30" xfId="0" applyNumberFormat="1" applyFont="1" applyFill="1" applyBorder="1" applyAlignment="1">
      <alignment vertical="center"/>
    </xf>
    <xf numFmtId="3" fontId="5" fillId="0" borderId="28" xfId="0" applyNumberFormat="1" applyFont="1" applyFill="1" applyBorder="1" applyAlignment="1">
      <alignment vertical="center"/>
    </xf>
    <xf numFmtId="3" fontId="5" fillId="0" borderId="27" xfId="0" applyNumberFormat="1" applyFont="1" applyFill="1" applyBorder="1" applyAlignment="1">
      <alignment vertical="center"/>
    </xf>
    <xf numFmtId="3" fontId="5" fillId="0" borderId="31" xfId="0" applyNumberFormat="1" applyFont="1" applyFill="1" applyBorder="1" applyAlignment="1">
      <alignment vertical="center"/>
    </xf>
    <xf numFmtId="9" fontId="5" fillId="0" borderId="29" xfId="57" applyFont="1" applyFill="1" applyBorder="1" applyAlignment="1">
      <alignment vertical="center"/>
    </xf>
    <xf numFmtId="9" fontId="4" fillId="0" borderId="30" xfId="57" applyFont="1" applyFill="1" applyBorder="1" applyAlignment="1">
      <alignment vertical="center"/>
    </xf>
    <xf numFmtId="9" fontId="4" fillId="0" borderId="28" xfId="57" applyFont="1" applyFill="1" applyBorder="1" applyAlignment="1">
      <alignment vertical="center"/>
    </xf>
    <xf numFmtId="9" fontId="4" fillId="0" borderId="29" xfId="57" applyFont="1" applyFill="1" applyBorder="1" applyAlignment="1">
      <alignment vertical="center"/>
    </xf>
    <xf numFmtId="0" fontId="4" fillId="0" borderId="32" xfId="0" applyFont="1" applyFill="1" applyBorder="1" applyAlignment="1">
      <alignment horizontal="center" vertical="center"/>
    </xf>
    <xf numFmtId="0" fontId="4" fillId="0" borderId="14" xfId="0" applyFont="1" applyFill="1" applyBorder="1" applyAlignment="1">
      <alignment vertical="center" wrapText="1"/>
    </xf>
    <xf numFmtId="49" fontId="4" fillId="0" borderId="33" xfId="0" applyNumberFormat="1" applyFont="1" applyFill="1" applyBorder="1" applyAlignment="1">
      <alignment horizontal="center" vertical="center" wrapText="1"/>
    </xf>
    <xf numFmtId="3" fontId="4" fillId="0" borderId="34" xfId="0" applyNumberFormat="1" applyFont="1" applyFill="1" applyBorder="1" applyAlignment="1">
      <alignment vertical="center"/>
    </xf>
    <xf numFmtId="3" fontId="4" fillId="0" borderId="35" xfId="0" applyNumberFormat="1" applyFont="1" applyFill="1" applyBorder="1" applyAlignment="1">
      <alignment vertical="center"/>
    </xf>
    <xf numFmtId="3" fontId="4" fillId="0" borderId="33" xfId="0" applyNumberFormat="1" applyFont="1" applyFill="1" applyBorder="1" applyAlignment="1">
      <alignment vertical="center"/>
    </xf>
    <xf numFmtId="3" fontId="4" fillId="0" borderId="36" xfId="0" applyNumberFormat="1" applyFont="1" applyFill="1" applyBorder="1" applyAlignment="1">
      <alignment vertical="center"/>
    </xf>
    <xf numFmtId="3" fontId="4" fillId="0" borderId="14" xfId="0" applyNumberFormat="1" applyFont="1" applyFill="1" applyBorder="1" applyAlignment="1">
      <alignment vertical="center"/>
    </xf>
    <xf numFmtId="3" fontId="4" fillId="0" borderId="37" xfId="0" applyNumberFormat="1" applyFont="1" applyFill="1" applyBorder="1" applyAlignment="1">
      <alignment vertical="center"/>
    </xf>
    <xf numFmtId="9" fontId="5" fillId="0" borderId="32" xfId="57" applyFont="1" applyFill="1" applyBorder="1" applyAlignment="1">
      <alignment vertical="center"/>
    </xf>
    <xf numFmtId="9" fontId="4" fillId="0" borderId="35" xfId="57" applyFont="1" applyFill="1" applyBorder="1" applyAlignment="1">
      <alignment vertical="center"/>
    </xf>
    <xf numFmtId="9" fontId="4" fillId="0" borderId="33" xfId="57" applyFont="1" applyFill="1" applyBorder="1" applyAlignment="1">
      <alignment vertical="center"/>
    </xf>
    <xf numFmtId="9" fontId="4" fillId="0" borderId="34" xfId="57" applyFont="1" applyFill="1" applyBorder="1" applyAlignment="1">
      <alignment vertical="center"/>
    </xf>
    <xf numFmtId="0" fontId="5" fillId="0" borderId="32" xfId="0" applyFont="1" applyFill="1" applyBorder="1" applyAlignment="1">
      <alignment horizontal="center" vertical="center"/>
    </xf>
    <xf numFmtId="0" fontId="5" fillId="0" borderId="14" xfId="0" applyFont="1" applyFill="1" applyBorder="1" applyAlignment="1">
      <alignment vertical="center" wrapText="1"/>
    </xf>
    <xf numFmtId="49" fontId="5" fillId="0" borderId="33" xfId="0" applyNumberFormat="1" applyFont="1" applyFill="1" applyBorder="1" applyAlignment="1">
      <alignment horizontal="center" vertical="center" wrapText="1"/>
    </xf>
    <xf numFmtId="3" fontId="5" fillId="0" borderId="34" xfId="0" applyNumberFormat="1" applyFont="1" applyFill="1" applyBorder="1" applyAlignment="1">
      <alignment vertical="center"/>
    </xf>
    <xf numFmtId="3" fontId="5" fillId="0" borderId="35" xfId="0" applyNumberFormat="1" applyFont="1" applyFill="1" applyBorder="1" applyAlignment="1">
      <alignment vertical="center"/>
    </xf>
    <xf numFmtId="3" fontId="5" fillId="0" borderId="33" xfId="0" applyNumberFormat="1" applyFont="1" applyFill="1" applyBorder="1" applyAlignment="1">
      <alignment vertical="center"/>
    </xf>
    <xf numFmtId="3" fontId="5" fillId="0" borderId="14" xfId="0" applyNumberFormat="1" applyFont="1" applyFill="1" applyBorder="1" applyAlignment="1">
      <alignment vertical="center"/>
    </xf>
    <xf numFmtId="3" fontId="5" fillId="0" borderId="37" xfId="0" applyNumberFormat="1" applyFont="1" applyFill="1" applyBorder="1" applyAlignment="1">
      <alignment vertical="center"/>
    </xf>
    <xf numFmtId="3" fontId="5" fillId="0" borderId="36" xfId="0" applyNumberFormat="1" applyFont="1" applyFill="1" applyBorder="1" applyAlignment="1">
      <alignment vertical="center"/>
    </xf>
    <xf numFmtId="9" fontId="5" fillId="0" borderId="38" xfId="57" applyFont="1" applyFill="1" applyBorder="1" applyAlignment="1">
      <alignment vertical="center"/>
    </xf>
    <xf numFmtId="9" fontId="4" fillId="0" borderId="39" xfId="57" applyFont="1" applyFill="1" applyBorder="1" applyAlignment="1">
      <alignment vertical="center"/>
    </xf>
    <xf numFmtId="9" fontId="4" fillId="0" borderId="40" xfId="57" applyFont="1" applyFill="1" applyBorder="1" applyAlignment="1">
      <alignment vertical="center"/>
    </xf>
    <xf numFmtId="9" fontId="4" fillId="0" borderId="38" xfId="57" applyFont="1" applyFill="1" applyBorder="1" applyAlignment="1">
      <alignment vertical="center"/>
    </xf>
    <xf numFmtId="9" fontId="5" fillId="0" borderId="39" xfId="57" applyFont="1" applyFill="1" applyBorder="1" applyAlignment="1">
      <alignment vertical="center"/>
    </xf>
    <xf numFmtId="9" fontId="5" fillId="0" borderId="40" xfId="57" applyFont="1" applyFill="1" applyBorder="1" applyAlignment="1">
      <alignment vertical="center"/>
    </xf>
    <xf numFmtId="3" fontId="4" fillId="33" borderId="34" xfId="0" applyNumberFormat="1" applyFont="1" applyFill="1" applyBorder="1" applyAlignment="1">
      <alignment vertical="center"/>
    </xf>
    <xf numFmtId="3" fontId="5" fillId="33" borderId="34" xfId="0" applyNumberFormat="1" applyFont="1" applyFill="1" applyBorder="1" applyAlignment="1">
      <alignment vertical="center"/>
    </xf>
    <xf numFmtId="0" fontId="4" fillId="0" borderId="41" xfId="0" applyFont="1" applyBorder="1" applyAlignment="1">
      <alignment vertical="center" wrapText="1"/>
    </xf>
    <xf numFmtId="0" fontId="4" fillId="0" borderId="15" xfId="0" applyFont="1" applyFill="1" applyBorder="1" applyAlignment="1">
      <alignment vertical="center" wrapText="1"/>
    </xf>
    <xf numFmtId="0" fontId="4" fillId="0" borderId="42" xfId="0" applyFont="1" applyFill="1" applyBorder="1" applyAlignment="1">
      <alignment horizontal="center" vertical="center"/>
    </xf>
    <xf numFmtId="49" fontId="4" fillId="0" borderId="40" xfId="0" applyNumberFormat="1" applyFont="1" applyFill="1" applyBorder="1" applyAlignment="1">
      <alignment horizontal="center" vertical="center" wrapText="1"/>
    </xf>
    <xf numFmtId="3" fontId="4" fillId="0" borderId="39" xfId="0" applyNumberFormat="1" applyFont="1" applyFill="1" applyBorder="1" applyAlignment="1">
      <alignment vertical="center"/>
    </xf>
    <xf numFmtId="3" fontId="4" fillId="0" borderId="40" xfId="0" applyNumberFormat="1" applyFont="1" applyFill="1" applyBorder="1" applyAlignment="1">
      <alignment vertical="center"/>
    </xf>
    <xf numFmtId="3" fontId="4" fillId="33" borderId="38" xfId="0" applyNumberFormat="1" applyFont="1" applyFill="1" applyBorder="1" applyAlignment="1">
      <alignment vertical="center"/>
    </xf>
    <xf numFmtId="3" fontId="4" fillId="0" borderId="15" xfId="0" applyNumberFormat="1" applyFont="1" applyFill="1" applyBorder="1" applyAlignment="1">
      <alignment vertical="center"/>
    </xf>
    <xf numFmtId="3" fontId="4" fillId="0" borderId="43" xfId="0" applyNumberFormat="1" applyFont="1" applyFill="1" applyBorder="1" applyAlignment="1">
      <alignment vertical="center"/>
    </xf>
    <xf numFmtId="0" fontId="5" fillId="0" borderId="42" xfId="0" applyFont="1" applyFill="1" applyBorder="1" applyAlignment="1">
      <alignment horizontal="center" vertical="center"/>
    </xf>
    <xf numFmtId="0" fontId="5" fillId="0" borderId="15" xfId="0" applyFont="1" applyFill="1" applyBorder="1" applyAlignment="1">
      <alignment vertical="center" wrapText="1"/>
    </xf>
    <xf numFmtId="3" fontId="5" fillId="0" borderId="39" xfId="0" applyNumberFormat="1" applyFont="1" applyFill="1" applyBorder="1" applyAlignment="1">
      <alignment vertical="center"/>
    </xf>
    <xf numFmtId="3" fontId="5" fillId="0" borderId="40" xfId="0" applyNumberFormat="1" applyFont="1" applyFill="1" applyBorder="1" applyAlignment="1">
      <alignment vertical="center"/>
    </xf>
    <xf numFmtId="3" fontId="5" fillId="33" borderId="38" xfId="0" applyNumberFormat="1" applyFont="1" applyFill="1" applyBorder="1" applyAlignment="1">
      <alignment vertical="center"/>
    </xf>
    <xf numFmtId="3" fontId="5" fillId="0" borderId="15" xfId="0" applyNumberFormat="1" applyFont="1" applyFill="1" applyBorder="1" applyAlignment="1">
      <alignment vertical="center"/>
    </xf>
    <xf numFmtId="3" fontId="5" fillId="0" borderId="43" xfId="0" applyNumberFormat="1" applyFont="1" applyFill="1" applyBorder="1" applyAlignment="1">
      <alignment vertical="center"/>
    </xf>
    <xf numFmtId="49" fontId="4" fillId="0" borderId="11" xfId="0" applyNumberFormat="1" applyFont="1" applyFill="1" applyBorder="1" applyAlignment="1">
      <alignment horizontal="center" vertical="center" wrapText="1"/>
    </xf>
    <xf numFmtId="3" fontId="4" fillId="0" borderId="44" xfId="0" applyNumberFormat="1" applyFont="1" applyFill="1" applyBorder="1" applyAlignment="1">
      <alignment vertical="center"/>
    </xf>
    <xf numFmtId="3" fontId="4" fillId="0" borderId="11" xfId="0" applyNumberFormat="1" applyFont="1" applyFill="1" applyBorder="1" applyAlignment="1">
      <alignment vertical="center"/>
    </xf>
    <xf numFmtId="3" fontId="4" fillId="33" borderId="0" xfId="0" applyNumberFormat="1" applyFont="1" applyFill="1" applyBorder="1" applyAlignment="1">
      <alignment vertical="center"/>
    </xf>
    <xf numFmtId="3" fontId="4" fillId="0" borderId="12" xfId="0" applyNumberFormat="1" applyFont="1" applyFill="1" applyBorder="1" applyAlignment="1">
      <alignment vertical="center"/>
    </xf>
    <xf numFmtId="0" fontId="5" fillId="0" borderId="15" xfId="0" applyFont="1" applyFill="1" applyBorder="1" applyAlignment="1">
      <alignment vertical="center"/>
    </xf>
    <xf numFmtId="49" fontId="5" fillId="0" borderId="40" xfId="0" applyNumberFormat="1" applyFont="1" applyFill="1" applyBorder="1" applyAlignment="1">
      <alignment horizontal="center" vertical="center" wrapText="1"/>
    </xf>
    <xf numFmtId="3" fontId="5" fillId="0" borderId="42" xfId="0" applyNumberFormat="1" applyFont="1" applyFill="1" applyBorder="1" applyAlignment="1">
      <alignment vertical="center"/>
    </xf>
    <xf numFmtId="0" fontId="4" fillId="0" borderId="0" xfId="0" applyFont="1" applyFill="1" applyBorder="1" applyAlignment="1">
      <alignment vertical="center" wrapText="1"/>
    </xf>
    <xf numFmtId="16" fontId="4" fillId="0" borderId="32" xfId="0" applyNumberFormat="1" applyFont="1" applyFill="1" applyBorder="1" applyAlignment="1">
      <alignment horizontal="center" vertical="center"/>
    </xf>
    <xf numFmtId="0" fontId="5" fillId="0" borderId="32" xfId="0" applyFont="1" applyBorder="1" applyAlignment="1">
      <alignment horizontal="center" vertical="center"/>
    </xf>
    <xf numFmtId="3" fontId="5" fillId="0" borderId="32" xfId="0" applyNumberFormat="1" applyFont="1" applyFill="1" applyBorder="1" applyAlignment="1">
      <alignment vertical="center"/>
    </xf>
    <xf numFmtId="0" fontId="5" fillId="0" borderId="41" xfId="0" applyFont="1" applyFill="1" applyBorder="1" applyAlignment="1">
      <alignment vertical="center" wrapText="1"/>
    </xf>
    <xf numFmtId="3" fontId="5" fillId="33" borderId="45" xfId="0" applyNumberFormat="1" applyFont="1" applyFill="1" applyBorder="1" applyAlignment="1">
      <alignment vertical="center"/>
    </xf>
    <xf numFmtId="179" fontId="5" fillId="0" borderId="35" xfId="0" applyNumberFormat="1" applyFont="1" applyFill="1" applyBorder="1" applyAlignment="1">
      <alignment vertical="center"/>
    </xf>
    <xf numFmtId="179" fontId="5" fillId="0" borderId="33" xfId="0" applyNumberFormat="1" applyFont="1" applyFill="1" applyBorder="1" applyAlignment="1">
      <alignment vertical="center"/>
    </xf>
    <xf numFmtId="179" fontId="5" fillId="33" borderId="34" xfId="0" applyNumberFormat="1" applyFont="1" applyFill="1" applyBorder="1" applyAlignment="1">
      <alignment vertical="center"/>
    </xf>
    <xf numFmtId="179" fontId="5" fillId="0" borderId="14" xfId="0" applyNumberFormat="1" applyFont="1" applyFill="1" applyBorder="1" applyAlignment="1">
      <alignment vertical="center"/>
    </xf>
    <xf numFmtId="179" fontId="5" fillId="0" borderId="37" xfId="0" applyNumberFormat="1" applyFont="1" applyFill="1" applyBorder="1" applyAlignment="1">
      <alignment vertical="center"/>
    </xf>
    <xf numFmtId="179" fontId="5" fillId="0" borderId="36" xfId="0" applyNumberFormat="1" applyFont="1" applyFill="1" applyBorder="1" applyAlignment="1">
      <alignment vertical="center"/>
    </xf>
    <xf numFmtId="9" fontId="5" fillId="0" borderId="34" xfId="57" applyFont="1" applyFill="1" applyBorder="1" applyAlignment="1">
      <alignment vertical="center"/>
    </xf>
    <xf numFmtId="9" fontId="5" fillId="0" borderId="35" xfId="57" applyFont="1" applyFill="1" applyBorder="1" applyAlignment="1">
      <alignment vertical="center"/>
    </xf>
    <xf numFmtId="9" fontId="5" fillId="0" borderId="33" xfId="57" applyFont="1" applyFill="1" applyBorder="1" applyAlignment="1">
      <alignment vertical="center"/>
    </xf>
    <xf numFmtId="4" fontId="5" fillId="0" borderId="35" xfId="0" applyNumberFormat="1" applyFont="1" applyFill="1" applyBorder="1" applyAlignment="1">
      <alignment vertical="center"/>
    </xf>
    <xf numFmtId="4" fontId="5" fillId="0" borderId="33" xfId="0" applyNumberFormat="1" applyFont="1" applyFill="1" applyBorder="1" applyAlignment="1">
      <alignment vertical="center"/>
    </xf>
    <xf numFmtId="4" fontId="5" fillId="33" borderId="34" xfId="0" applyNumberFormat="1" applyFont="1" applyFill="1" applyBorder="1" applyAlignment="1">
      <alignment vertical="center"/>
    </xf>
    <xf numFmtId="4" fontId="5" fillId="0" borderId="14" xfId="0" applyNumberFormat="1" applyFont="1" applyFill="1" applyBorder="1" applyAlignment="1">
      <alignment vertical="center"/>
    </xf>
    <xf numFmtId="4" fontId="5" fillId="0" borderId="37" xfId="0" applyNumberFormat="1" applyFont="1" applyFill="1" applyBorder="1" applyAlignment="1">
      <alignment vertical="center"/>
    </xf>
    <xf numFmtId="4" fontId="5" fillId="0" borderId="36" xfId="0" applyNumberFormat="1" applyFont="1" applyFill="1" applyBorder="1" applyAlignment="1">
      <alignment vertical="center"/>
    </xf>
    <xf numFmtId="0" fontId="5" fillId="0" borderId="27" xfId="0" applyFont="1" applyFill="1" applyBorder="1" applyAlignment="1">
      <alignment wrapText="1"/>
    </xf>
    <xf numFmtId="0" fontId="4" fillId="0" borderId="14" xfId="0" applyFont="1" applyFill="1" applyBorder="1" applyAlignment="1">
      <alignment wrapText="1"/>
    </xf>
    <xf numFmtId="179" fontId="4" fillId="0" borderId="36" xfId="0" applyNumberFormat="1" applyFont="1" applyFill="1" applyBorder="1" applyAlignment="1">
      <alignment vertical="center"/>
    </xf>
    <xf numFmtId="179" fontId="4" fillId="33" borderId="14" xfId="0" applyNumberFormat="1" applyFont="1" applyFill="1" applyBorder="1" applyAlignment="1">
      <alignment horizontal="center" vertical="center"/>
    </xf>
    <xf numFmtId="179" fontId="4" fillId="0" borderId="46" xfId="0" applyNumberFormat="1" applyFont="1" applyFill="1" applyBorder="1" applyAlignment="1">
      <alignment vertical="center"/>
    </xf>
    <xf numFmtId="179" fontId="4" fillId="33" borderId="47" xfId="0" applyNumberFormat="1" applyFont="1" applyFill="1" applyBorder="1" applyAlignment="1">
      <alignment horizontal="center" vertical="center"/>
    </xf>
    <xf numFmtId="0" fontId="5" fillId="0" borderId="27" xfId="0" applyFont="1" applyBorder="1" applyAlignment="1">
      <alignment wrapText="1"/>
    </xf>
    <xf numFmtId="4" fontId="5" fillId="0" borderId="30" xfId="0" applyNumberFormat="1" applyFont="1" applyFill="1" applyBorder="1" applyAlignment="1">
      <alignment vertical="center"/>
    </xf>
    <xf numFmtId="4" fontId="5" fillId="0" borderId="27" xfId="0" applyNumberFormat="1" applyFont="1" applyFill="1" applyBorder="1" applyAlignment="1">
      <alignment vertical="center"/>
    </xf>
    <xf numFmtId="4" fontId="5" fillId="0" borderId="28" xfId="0" applyNumberFormat="1" applyFont="1" applyFill="1" applyBorder="1" applyAlignment="1">
      <alignment vertical="center"/>
    </xf>
    <xf numFmtId="9" fontId="5" fillId="0" borderId="30" xfId="57" applyFont="1" applyFill="1" applyBorder="1" applyAlignment="1">
      <alignment vertical="center"/>
    </xf>
    <xf numFmtId="9" fontId="5" fillId="0" borderId="28" xfId="57" applyFont="1" applyFill="1" applyBorder="1" applyAlignment="1">
      <alignment vertical="center"/>
    </xf>
    <xf numFmtId="0" fontId="4" fillId="0" borderId="0" xfId="0" applyFont="1" applyFill="1" applyAlignment="1">
      <alignment/>
    </xf>
    <xf numFmtId="0" fontId="4" fillId="0" borderId="13" xfId="0" applyFont="1" applyBorder="1" applyAlignment="1">
      <alignment vertical="center" wrapText="1"/>
    </xf>
    <xf numFmtId="0" fontId="4" fillId="33" borderId="48" xfId="0" applyFont="1" applyFill="1" applyBorder="1" applyAlignment="1">
      <alignment/>
    </xf>
    <xf numFmtId="4" fontId="4" fillId="33" borderId="49" xfId="0" applyNumberFormat="1" applyFont="1" applyFill="1" applyBorder="1" applyAlignment="1">
      <alignment vertical="center"/>
    </xf>
    <xf numFmtId="4" fontId="4" fillId="33" borderId="50" xfId="0" applyNumberFormat="1" applyFont="1" applyFill="1" applyBorder="1" applyAlignment="1">
      <alignment vertical="center"/>
    </xf>
    <xf numFmtId="4" fontId="5" fillId="0" borderId="41" xfId="0" applyNumberFormat="1" applyFont="1" applyFill="1" applyBorder="1" applyAlignment="1">
      <alignment vertical="center"/>
    </xf>
    <xf numFmtId="4" fontId="5" fillId="0" borderId="49" xfId="0" applyNumberFormat="1" applyFont="1" applyFill="1" applyBorder="1" applyAlignment="1">
      <alignment vertical="center"/>
    </xf>
    <xf numFmtId="4" fontId="5" fillId="0" borderId="50" xfId="0" applyNumberFormat="1" applyFont="1" applyFill="1" applyBorder="1" applyAlignment="1">
      <alignment vertical="center"/>
    </xf>
    <xf numFmtId="9" fontId="4" fillId="0" borderId="14" xfId="57" applyFont="1" applyFill="1" applyBorder="1" applyAlignment="1">
      <alignment vertical="center"/>
    </xf>
    <xf numFmtId="9" fontId="5" fillId="0" borderId="14" xfId="57" applyFont="1" applyFill="1" applyBorder="1" applyAlignment="1">
      <alignment vertical="center"/>
    </xf>
    <xf numFmtId="9" fontId="5" fillId="0" borderId="36" xfId="57" applyFont="1" applyFill="1" applyBorder="1" applyAlignment="1">
      <alignment vertical="center"/>
    </xf>
    <xf numFmtId="0" fontId="4" fillId="0" borderId="14" xfId="0" applyFont="1" applyBorder="1" applyAlignment="1">
      <alignment vertical="center" wrapText="1"/>
    </xf>
    <xf numFmtId="0" fontId="4" fillId="33" borderId="32" xfId="0" applyFont="1" applyFill="1" applyBorder="1" applyAlignment="1">
      <alignment/>
    </xf>
    <xf numFmtId="4" fontId="4" fillId="33" borderId="35" xfId="0" applyNumberFormat="1" applyFont="1" applyFill="1" applyBorder="1" applyAlignment="1">
      <alignment vertical="center"/>
    </xf>
    <xf numFmtId="4" fontId="4" fillId="33" borderId="36" xfId="0" applyNumberFormat="1" applyFont="1" applyFill="1" applyBorder="1" applyAlignment="1">
      <alignment vertical="center"/>
    </xf>
    <xf numFmtId="9" fontId="4" fillId="0" borderId="42" xfId="57" applyFont="1" applyFill="1" applyBorder="1" applyAlignment="1">
      <alignment vertical="center"/>
    </xf>
    <xf numFmtId="3" fontId="4" fillId="0" borderId="0" xfId="0" applyNumberFormat="1" applyFont="1" applyFill="1" applyAlignment="1">
      <alignment/>
    </xf>
    <xf numFmtId="9" fontId="4" fillId="0" borderId="51" xfId="57" applyFont="1" applyFill="1" applyBorder="1" applyAlignment="1">
      <alignment vertical="center"/>
    </xf>
    <xf numFmtId="0" fontId="4" fillId="0" borderId="0" xfId="0" applyFont="1" applyFill="1" applyBorder="1" applyAlignment="1">
      <alignment/>
    </xf>
    <xf numFmtId="3" fontId="4" fillId="0" borderId="0" xfId="0" applyNumberFormat="1" applyFont="1" applyFill="1" applyBorder="1" applyAlignment="1">
      <alignment/>
    </xf>
    <xf numFmtId="0" fontId="5" fillId="0" borderId="0" xfId="0" applyFont="1" applyFill="1" applyBorder="1" applyAlignment="1">
      <alignment horizontal="left"/>
    </xf>
    <xf numFmtId="0" fontId="6" fillId="0" borderId="0" xfId="0" applyFont="1" applyFill="1" applyBorder="1" applyAlignment="1">
      <alignment/>
    </xf>
    <xf numFmtId="0" fontId="9" fillId="0" borderId="10" xfId="0" applyFont="1" applyFill="1" applyBorder="1" applyAlignment="1">
      <alignment horizontal="center" vertical="center"/>
    </xf>
    <xf numFmtId="0" fontId="9" fillId="0" borderId="13" xfId="0" applyFont="1" applyFill="1" applyBorder="1" applyAlignment="1">
      <alignment vertical="center" wrapText="1"/>
    </xf>
    <xf numFmtId="0" fontId="9" fillId="0" borderId="11" xfId="0" applyFont="1" applyFill="1" applyBorder="1" applyAlignment="1">
      <alignment vertical="center" wrapText="1"/>
    </xf>
    <xf numFmtId="4" fontId="9" fillId="0" borderId="0" xfId="0" applyNumberFormat="1" applyFont="1" applyFill="1" applyBorder="1" applyAlignment="1">
      <alignment vertical="center"/>
    </xf>
    <xf numFmtId="179" fontId="5" fillId="0" borderId="52" xfId="0" applyNumberFormat="1" applyFont="1" applyFill="1" applyBorder="1" applyAlignment="1">
      <alignment vertical="center"/>
    </xf>
    <xf numFmtId="179" fontId="5" fillId="0" borderId="31" xfId="0" applyNumberFormat="1" applyFont="1" applyFill="1" applyBorder="1" applyAlignment="1">
      <alignment vertical="center"/>
    </xf>
    <xf numFmtId="179" fontId="4" fillId="0" borderId="37" xfId="0" applyNumberFormat="1" applyFont="1" applyFill="1" applyBorder="1" applyAlignment="1">
      <alignment vertical="center"/>
    </xf>
    <xf numFmtId="179" fontId="4" fillId="0" borderId="53" xfId="0" applyNumberFormat="1" applyFont="1" applyFill="1" applyBorder="1" applyAlignment="1">
      <alignment vertical="center"/>
    </xf>
    <xf numFmtId="179" fontId="5" fillId="33" borderId="27" xfId="0" applyNumberFormat="1" applyFont="1" applyFill="1" applyBorder="1" applyAlignment="1">
      <alignment vertical="center"/>
    </xf>
    <xf numFmtId="4" fontId="4" fillId="33" borderId="14" xfId="0" applyNumberFormat="1" applyFont="1" applyFill="1" applyBorder="1" applyAlignment="1">
      <alignment/>
    </xf>
    <xf numFmtId="49" fontId="5" fillId="0" borderId="27" xfId="0" applyNumberFormat="1" applyFont="1" applyFill="1" applyBorder="1" applyAlignment="1">
      <alignment horizontal="center" vertical="center" wrapText="1"/>
    </xf>
    <xf numFmtId="0" fontId="3" fillId="0" borderId="15" xfId="0" applyFont="1" applyFill="1" applyBorder="1" applyAlignment="1">
      <alignment horizontal="center"/>
    </xf>
    <xf numFmtId="49" fontId="5" fillId="0" borderId="14" xfId="0" applyNumberFormat="1" applyFont="1" applyFill="1" applyBorder="1" applyAlignment="1">
      <alignment horizontal="center" vertical="center" wrapText="1"/>
    </xf>
    <xf numFmtId="49" fontId="5" fillId="0" borderId="47" xfId="0" applyNumberFormat="1" applyFont="1" applyFill="1" applyBorder="1" applyAlignment="1">
      <alignment horizontal="center" vertical="center" wrapText="1"/>
    </xf>
    <xf numFmtId="9" fontId="5" fillId="33" borderId="27" xfId="57" applyFont="1" applyFill="1" applyBorder="1" applyAlignment="1">
      <alignment vertical="center"/>
    </xf>
    <xf numFmtId="9" fontId="5" fillId="0" borderId="31" xfId="57" applyFont="1" applyFill="1" applyBorder="1" applyAlignment="1">
      <alignment vertical="center"/>
    </xf>
    <xf numFmtId="9" fontId="5" fillId="0" borderId="52" xfId="57" applyFont="1" applyFill="1" applyBorder="1" applyAlignment="1">
      <alignment vertical="center"/>
    </xf>
    <xf numFmtId="9" fontId="4" fillId="33" borderId="14" xfId="57" applyFont="1" applyFill="1" applyBorder="1" applyAlignment="1">
      <alignment/>
    </xf>
    <xf numFmtId="9" fontId="4" fillId="0" borderId="37" xfId="57" applyFont="1" applyFill="1" applyBorder="1" applyAlignment="1">
      <alignment vertical="center"/>
    </xf>
    <xf numFmtId="9" fontId="4" fillId="0" borderId="36" xfId="57" applyFont="1" applyFill="1" applyBorder="1" applyAlignment="1">
      <alignment vertical="center"/>
    </xf>
    <xf numFmtId="9" fontId="4" fillId="33" borderId="14" xfId="57" applyFont="1" applyFill="1" applyBorder="1" applyAlignment="1">
      <alignment horizontal="center" vertical="center"/>
    </xf>
    <xf numFmtId="9" fontId="4" fillId="33" borderId="47" xfId="57" applyFont="1" applyFill="1" applyBorder="1" applyAlignment="1">
      <alignment horizontal="center" vertical="center"/>
    </xf>
    <xf numFmtId="9" fontId="4" fillId="0" borderId="53" xfId="57" applyFont="1" applyFill="1" applyBorder="1" applyAlignment="1">
      <alignment vertical="center"/>
    </xf>
    <xf numFmtId="9" fontId="5" fillId="0" borderId="54" xfId="57" applyFont="1" applyFill="1" applyBorder="1" applyAlignment="1">
      <alignment vertical="center"/>
    </xf>
    <xf numFmtId="9" fontId="4" fillId="0" borderId="55" xfId="57" applyFont="1" applyFill="1" applyBorder="1" applyAlignment="1">
      <alignment vertical="center"/>
    </xf>
    <xf numFmtId="0" fontId="4" fillId="0" borderId="14" xfId="0" applyFont="1" applyBorder="1" applyAlignment="1">
      <alignment horizontal="left" wrapText="1"/>
    </xf>
    <xf numFmtId="0" fontId="7" fillId="0" borderId="14" xfId="0" applyFont="1" applyFill="1" applyBorder="1" applyAlignment="1">
      <alignment wrapText="1"/>
    </xf>
    <xf numFmtId="49" fontId="61" fillId="0" borderId="0" xfId="0" applyNumberFormat="1" applyFont="1" applyFill="1" applyBorder="1" applyAlignment="1">
      <alignment horizontal="center"/>
    </xf>
    <xf numFmtId="0" fontId="62" fillId="0" borderId="0" xfId="0" applyFont="1" applyFill="1" applyBorder="1" applyAlignment="1">
      <alignment horizontal="left"/>
    </xf>
    <xf numFmtId="0" fontId="61" fillId="0" borderId="0" xfId="0" applyFont="1" applyFill="1" applyBorder="1" applyAlignment="1">
      <alignment horizontal="center"/>
    </xf>
    <xf numFmtId="2" fontId="61" fillId="0" borderId="0" xfId="0" applyNumberFormat="1" applyFont="1" applyFill="1" applyBorder="1" applyAlignment="1">
      <alignment/>
    </xf>
    <xf numFmtId="177" fontId="61" fillId="0" borderId="0" xfId="0" applyNumberFormat="1" applyFont="1" applyFill="1" applyBorder="1" applyAlignment="1">
      <alignment/>
    </xf>
    <xf numFmtId="0" fontId="61" fillId="0" borderId="0" xfId="0" applyFont="1" applyFill="1" applyBorder="1" applyAlignment="1">
      <alignment horizontal="left" wrapText="1"/>
    </xf>
    <xf numFmtId="0" fontId="61" fillId="0" borderId="0" xfId="0" applyFont="1" applyFill="1" applyBorder="1" applyAlignment="1">
      <alignment horizontal="left"/>
    </xf>
    <xf numFmtId="0" fontId="4" fillId="33" borderId="26" xfId="0" applyFont="1" applyFill="1" applyBorder="1" applyAlignment="1">
      <alignment/>
    </xf>
    <xf numFmtId="4" fontId="5" fillId="0" borderId="52" xfId="0" applyNumberFormat="1" applyFont="1" applyFill="1" applyBorder="1" applyAlignment="1">
      <alignment vertical="center"/>
    </xf>
    <xf numFmtId="0" fontId="4" fillId="33" borderId="56" xfId="0" applyFont="1" applyFill="1" applyBorder="1" applyAlignment="1">
      <alignment/>
    </xf>
    <xf numFmtId="4" fontId="4" fillId="33" borderId="57" xfId="0" applyNumberFormat="1" applyFont="1" applyFill="1" applyBorder="1" applyAlignment="1">
      <alignment vertical="center"/>
    </xf>
    <xf numFmtId="4" fontId="4" fillId="33" borderId="46" xfId="0" applyNumberFormat="1" applyFont="1" applyFill="1" applyBorder="1" applyAlignment="1">
      <alignment vertical="center"/>
    </xf>
    <xf numFmtId="9" fontId="4" fillId="0" borderId="58" xfId="57" applyFont="1" applyFill="1" applyBorder="1" applyAlignment="1">
      <alignment vertical="center"/>
    </xf>
    <xf numFmtId="9" fontId="4" fillId="0" borderId="57" xfId="57" applyFont="1" applyFill="1" applyBorder="1" applyAlignment="1">
      <alignment vertical="center"/>
    </xf>
    <xf numFmtId="9" fontId="4" fillId="0" borderId="59" xfId="57" applyFont="1" applyFill="1" applyBorder="1" applyAlignment="1">
      <alignment vertical="center"/>
    </xf>
    <xf numFmtId="9" fontId="5" fillId="0" borderId="60" xfId="57" applyFont="1" applyFill="1" applyBorder="1" applyAlignment="1">
      <alignment vertical="center"/>
    </xf>
    <xf numFmtId="9" fontId="5" fillId="0" borderId="61" xfId="57" applyFont="1" applyFill="1" applyBorder="1" applyAlignment="1">
      <alignment vertical="center"/>
    </xf>
    <xf numFmtId="9" fontId="5" fillId="0" borderId="62" xfId="57" applyFont="1" applyFill="1" applyBorder="1" applyAlignment="1">
      <alignment vertical="center"/>
    </xf>
    <xf numFmtId="0" fontId="63" fillId="0" borderId="0" xfId="0" applyFont="1" applyFill="1" applyAlignment="1">
      <alignment/>
    </xf>
    <xf numFmtId="49" fontId="10" fillId="0" borderId="14" xfId="0" applyNumberFormat="1" applyFont="1" applyFill="1" applyBorder="1" applyAlignment="1">
      <alignment horizontal="center" vertical="center" wrapText="1"/>
    </xf>
    <xf numFmtId="0" fontId="10" fillId="0" borderId="0" xfId="0" applyFont="1" applyFill="1" applyAlignment="1">
      <alignment/>
    </xf>
    <xf numFmtId="0" fontId="64" fillId="0" borderId="0" xfId="0" applyFont="1" applyFill="1" applyAlignment="1">
      <alignment vertical="center"/>
    </xf>
    <xf numFmtId="0" fontId="65" fillId="0" borderId="0" xfId="0" applyFont="1" applyFill="1" applyAlignment="1">
      <alignment horizontal="right" vertical="center"/>
    </xf>
    <xf numFmtId="0" fontId="66" fillId="0" borderId="0" xfId="0" applyFont="1" applyFill="1" applyBorder="1" applyAlignment="1">
      <alignment vertical="center" wrapText="1"/>
    </xf>
    <xf numFmtId="179" fontId="67" fillId="0" borderId="0" xfId="0" applyNumberFormat="1" applyFont="1" applyFill="1" applyBorder="1" applyAlignment="1">
      <alignment wrapText="1"/>
    </xf>
    <xf numFmtId="0" fontId="68" fillId="0" borderId="0" xfId="0" applyFont="1" applyFill="1" applyBorder="1" applyAlignment="1">
      <alignment/>
    </xf>
    <xf numFmtId="0" fontId="68" fillId="0" borderId="0" xfId="0" applyFont="1" applyFill="1" applyAlignment="1">
      <alignment/>
    </xf>
    <xf numFmtId="0" fontId="10" fillId="0" borderId="27" xfId="0" applyFont="1" applyFill="1" applyBorder="1" applyAlignment="1">
      <alignment vertical="center" wrapText="1"/>
    </xf>
    <xf numFmtId="0" fontId="10" fillId="0" borderId="14" xfId="0" applyFont="1" applyFill="1" applyBorder="1" applyAlignment="1">
      <alignment vertical="center" wrapText="1"/>
    </xf>
    <xf numFmtId="0" fontId="4" fillId="0" borderId="14" xfId="0" applyFont="1" applyBorder="1" applyAlignment="1">
      <alignment wrapText="1"/>
    </xf>
    <xf numFmtId="0" fontId="4" fillId="34" borderId="14" xfId="0" applyFont="1" applyFill="1" applyBorder="1" applyAlignment="1">
      <alignment wrapText="1"/>
    </xf>
    <xf numFmtId="0" fontId="10" fillId="0" borderId="41" xfId="0" applyFont="1" applyFill="1" applyBorder="1" applyAlignment="1">
      <alignment vertical="center" wrapText="1"/>
    </xf>
    <xf numFmtId="0" fontId="10" fillId="0" borderId="63" xfId="0" applyFont="1" applyFill="1" applyBorder="1" applyAlignment="1">
      <alignment vertical="center" wrapText="1"/>
    </xf>
    <xf numFmtId="0" fontId="10" fillId="0" borderId="18" xfId="0" applyFont="1" applyFill="1" applyBorder="1" applyAlignment="1">
      <alignment horizontal="center" vertical="center" wrapText="1"/>
    </xf>
    <xf numFmtId="0" fontId="10" fillId="0" borderId="28" xfId="0" applyFont="1" applyFill="1" applyBorder="1" applyAlignment="1">
      <alignment vertical="center" wrapText="1"/>
    </xf>
    <xf numFmtId="0" fontId="10" fillId="0" borderId="62" xfId="0" applyFont="1" applyFill="1" applyBorder="1" applyAlignment="1">
      <alignment vertical="center" wrapText="1"/>
    </xf>
    <xf numFmtId="0" fontId="4" fillId="34" borderId="14" xfId="0" applyFont="1" applyFill="1" applyBorder="1" applyAlignment="1">
      <alignment vertical="center" wrapText="1"/>
    </xf>
    <xf numFmtId="0" fontId="14" fillId="0" borderId="0" xfId="0" applyFont="1" applyFill="1" applyAlignment="1">
      <alignment vertical="center"/>
    </xf>
    <xf numFmtId="0" fontId="16" fillId="0" borderId="0" xfId="0" applyFont="1" applyFill="1" applyAlignment="1">
      <alignment horizontal="right" vertical="center"/>
    </xf>
    <xf numFmtId="0" fontId="19" fillId="0" borderId="14" xfId="0" applyFont="1" applyFill="1" applyBorder="1" applyAlignment="1">
      <alignment vertical="center" wrapText="1"/>
    </xf>
    <xf numFmtId="3" fontId="12" fillId="33" borderId="13" xfId="0" applyNumberFormat="1" applyFont="1" applyFill="1" applyBorder="1" applyAlignment="1">
      <alignment vertical="center"/>
    </xf>
    <xf numFmtId="4" fontId="9" fillId="0" borderId="44" xfId="0" applyNumberFormat="1" applyFont="1" applyFill="1" applyBorder="1" applyAlignment="1">
      <alignment vertical="center"/>
    </xf>
    <xf numFmtId="4" fontId="9" fillId="0" borderId="11" xfId="0" applyNumberFormat="1" applyFont="1" applyFill="1" applyBorder="1" applyAlignment="1">
      <alignment vertical="center"/>
    </xf>
    <xf numFmtId="4" fontId="9" fillId="0" borderId="12" xfId="0" applyNumberFormat="1" applyFont="1" applyFill="1" applyBorder="1" applyAlignment="1">
      <alignment vertical="center"/>
    </xf>
    <xf numFmtId="49" fontId="9" fillId="0" borderId="0" xfId="0" applyNumberFormat="1" applyFont="1" applyFill="1" applyBorder="1" applyAlignment="1">
      <alignment horizontal="center"/>
    </xf>
    <xf numFmtId="0" fontId="12" fillId="0" borderId="0" xfId="0" applyFont="1" applyFill="1" applyBorder="1" applyAlignment="1">
      <alignment horizontal="left"/>
    </xf>
    <xf numFmtId="0" fontId="9" fillId="0" borderId="0" xfId="0" applyFont="1" applyFill="1" applyBorder="1" applyAlignment="1">
      <alignment horizontal="center"/>
    </xf>
    <xf numFmtId="2" fontId="9" fillId="0" borderId="0" xfId="0" applyNumberFormat="1" applyFont="1" applyFill="1" applyBorder="1" applyAlignment="1">
      <alignment/>
    </xf>
    <xf numFmtId="177" fontId="9" fillId="0" borderId="0" xfId="0" applyNumberFormat="1" applyFont="1" applyFill="1" applyBorder="1" applyAlignment="1">
      <alignment/>
    </xf>
    <xf numFmtId="9" fontId="9" fillId="0" borderId="0" xfId="57" applyFont="1" applyFill="1" applyBorder="1" applyAlignment="1">
      <alignment vertical="center"/>
    </xf>
    <xf numFmtId="9" fontId="12" fillId="0" borderId="0" xfId="57" applyFont="1" applyFill="1" applyBorder="1" applyAlignment="1">
      <alignment vertical="center"/>
    </xf>
    <xf numFmtId="0" fontId="9" fillId="0" borderId="0" xfId="0" applyFont="1" applyFill="1" applyBorder="1" applyAlignment="1">
      <alignment horizontal="left" wrapText="1"/>
    </xf>
    <xf numFmtId="0" fontId="9" fillId="0" borderId="0" xfId="0" applyFont="1" applyFill="1" applyBorder="1" applyAlignment="1">
      <alignment horizontal="left"/>
    </xf>
    <xf numFmtId="0" fontId="17" fillId="0" borderId="0" xfId="0" applyFont="1" applyFill="1" applyBorder="1" applyAlignment="1">
      <alignment vertical="center" wrapText="1"/>
    </xf>
    <xf numFmtId="179" fontId="15" fillId="0" borderId="0" xfId="0" applyNumberFormat="1" applyFont="1" applyFill="1" applyBorder="1" applyAlignment="1">
      <alignment wrapText="1"/>
    </xf>
    <xf numFmtId="0" fontId="13" fillId="0" borderId="0" xfId="0" applyFont="1" applyFill="1" applyAlignment="1">
      <alignment/>
    </xf>
    <xf numFmtId="0" fontId="18" fillId="0" borderId="0" xfId="0" applyFont="1" applyFill="1" applyBorder="1" applyAlignment="1">
      <alignment/>
    </xf>
    <xf numFmtId="0" fontId="18" fillId="0" borderId="0" xfId="0" applyFont="1" applyFill="1" applyAlignment="1">
      <alignment/>
    </xf>
    <xf numFmtId="0" fontId="12" fillId="0" borderId="0" xfId="0" applyFont="1" applyFill="1" applyAlignment="1">
      <alignment/>
    </xf>
    <xf numFmtId="0" fontId="66" fillId="0" borderId="15" xfId="0" applyFont="1" applyFill="1" applyBorder="1" applyAlignment="1">
      <alignment vertical="center" wrapText="1"/>
    </xf>
    <xf numFmtId="0" fontId="67" fillId="0" borderId="0" xfId="0" applyFont="1" applyFill="1" applyAlignment="1">
      <alignment vertical="center"/>
    </xf>
    <xf numFmtId="9" fontId="4" fillId="0" borderId="0" xfId="57" applyFont="1" applyFill="1" applyBorder="1" applyAlignment="1">
      <alignment vertical="center"/>
    </xf>
    <xf numFmtId="2" fontId="3" fillId="0" borderId="0" xfId="0" applyNumberFormat="1" applyFont="1" applyFill="1" applyAlignment="1">
      <alignment/>
    </xf>
    <xf numFmtId="0" fontId="5" fillId="0" borderId="0" xfId="0" applyFont="1" applyFill="1" applyAlignment="1">
      <alignment horizontal="left" vertical="center"/>
    </xf>
    <xf numFmtId="0" fontId="5" fillId="0" borderId="0" xfId="0" applyFont="1" applyFill="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horizontal="center" vertical="center" wrapText="1"/>
    </xf>
    <xf numFmtId="3" fontId="5" fillId="0" borderId="0" xfId="0" applyNumberFormat="1" applyFont="1" applyFill="1" applyAlignment="1">
      <alignment vertical="center"/>
    </xf>
    <xf numFmtId="0" fontId="69" fillId="0" borderId="40" xfId="0" applyFont="1" applyFill="1" applyBorder="1" applyAlignment="1">
      <alignment vertical="center" wrapText="1"/>
    </xf>
    <xf numFmtId="0" fontId="69" fillId="0" borderId="62" xfId="0" applyFont="1" applyFill="1" applyBorder="1" applyAlignment="1">
      <alignment vertical="center" wrapText="1"/>
    </xf>
    <xf numFmtId="0" fontId="4" fillId="0" borderId="0" xfId="0" applyFont="1" applyFill="1" applyAlignment="1">
      <alignment horizontal="right"/>
    </xf>
    <xf numFmtId="9" fontId="4" fillId="0" borderId="0" xfId="57" applyFont="1" applyFill="1" applyBorder="1" applyAlignment="1">
      <alignment horizontal="center" vertical="center"/>
    </xf>
    <xf numFmtId="0" fontId="10" fillId="0" borderId="0" xfId="0" applyFont="1" applyFill="1" applyAlignment="1">
      <alignment/>
    </xf>
    <xf numFmtId="0" fontId="10" fillId="0" borderId="0" xfId="0" applyFont="1" applyFill="1" applyAlignment="1">
      <alignment horizontal="right"/>
    </xf>
    <xf numFmtId="0" fontId="10" fillId="0" borderId="0" xfId="0" applyFont="1" applyFill="1" applyAlignment="1">
      <alignment horizontal="right" vertical="center"/>
    </xf>
    <xf numFmtId="3" fontId="61" fillId="0" borderId="0" xfId="0" applyNumberFormat="1" applyFont="1" applyFill="1" applyBorder="1" applyAlignment="1">
      <alignment horizontal="center"/>
    </xf>
    <xf numFmtId="1" fontId="61" fillId="33" borderId="0" xfId="0" applyNumberFormat="1" applyFont="1" applyFill="1" applyBorder="1" applyAlignment="1">
      <alignment horizontal="center"/>
    </xf>
    <xf numFmtId="0" fontId="5" fillId="0" borderId="64" xfId="0" applyFont="1" applyBorder="1" applyAlignment="1">
      <alignment horizontal="center" vertical="center"/>
    </xf>
    <xf numFmtId="0" fontId="3" fillId="0" borderId="64" xfId="0" applyFont="1" applyFill="1" applyBorder="1" applyAlignment="1">
      <alignment/>
    </xf>
    <xf numFmtId="3" fontId="4" fillId="0" borderId="64" xfId="0" applyNumberFormat="1" applyFont="1" applyFill="1" applyBorder="1" applyAlignment="1">
      <alignment horizontal="center" vertical="center"/>
    </xf>
    <xf numFmtId="3" fontId="5" fillId="0" borderId="64" xfId="0" applyNumberFormat="1" applyFont="1" applyFill="1" applyBorder="1" applyAlignment="1">
      <alignment horizontal="center" vertical="center"/>
    </xf>
    <xf numFmtId="3" fontId="67" fillId="0" borderId="64" xfId="0" applyNumberFormat="1" applyFont="1" applyFill="1" applyBorder="1" applyAlignment="1">
      <alignment horizontal="center" vertical="center"/>
    </xf>
    <xf numFmtId="3" fontId="4" fillId="34" borderId="64" xfId="0" applyNumberFormat="1" applyFont="1" applyFill="1" applyBorder="1" applyAlignment="1">
      <alignment horizontal="center" vertical="center"/>
    </xf>
    <xf numFmtId="3" fontId="64" fillId="0" borderId="64" xfId="0" applyNumberFormat="1" applyFont="1" applyFill="1" applyBorder="1" applyAlignment="1">
      <alignment horizontal="center" vertical="center"/>
    </xf>
    <xf numFmtId="0" fontId="4" fillId="0" borderId="64" xfId="0" applyFont="1" applyFill="1" applyBorder="1" applyAlignment="1">
      <alignment/>
    </xf>
    <xf numFmtId="0" fontId="5" fillId="0" borderId="64" xfId="0" applyFont="1" applyFill="1" applyBorder="1" applyAlignment="1">
      <alignment/>
    </xf>
    <xf numFmtId="4" fontId="70" fillId="0" borderId="64" xfId="0" applyNumberFormat="1" applyFont="1" applyFill="1" applyBorder="1" applyAlignment="1">
      <alignment vertical="center"/>
    </xf>
    <xf numFmtId="0" fontId="5" fillId="0" borderId="0" xfId="0" applyFont="1" applyFill="1" applyBorder="1" applyAlignment="1">
      <alignment horizontal="center"/>
    </xf>
    <xf numFmtId="179" fontId="5" fillId="0" borderId="64" xfId="0" applyNumberFormat="1" applyFont="1" applyFill="1" applyBorder="1" applyAlignment="1">
      <alignment vertical="center"/>
    </xf>
    <xf numFmtId="4" fontId="64" fillId="0" borderId="64" xfId="0" applyNumberFormat="1" applyFont="1" applyFill="1" applyBorder="1" applyAlignment="1">
      <alignment vertical="center"/>
    </xf>
    <xf numFmtId="179" fontId="4" fillId="0" borderId="64" xfId="0" applyNumberFormat="1" applyFont="1" applyFill="1" applyBorder="1" applyAlignment="1">
      <alignment vertical="center"/>
    </xf>
    <xf numFmtId="4" fontId="4" fillId="0" borderId="64" xfId="0" applyNumberFormat="1" applyFont="1" applyFill="1" applyBorder="1" applyAlignment="1">
      <alignment vertical="center"/>
    </xf>
    <xf numFmtId="180" fontId="4" fillId="0" borderId="64" xfId="0" applyNumberFormat="1" applyFont="1" applyFill="1" applyBorder="1" applyAlignment="1">
      <alignment horizontal="left" vertical="center" wrapText="1"/>
    </xf>
    <xf numFmtId="0" fontId="4" fillId="0" borderId="64"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64" xfId="0" applyFont="1" applyFill="1" applyBorder="1" applyAlignment="1">
      <alignment horizontal="center" vertical="center"/>
    </xf>
    <xf numFmtId="0" fontId="5" fillId="0" borderId="64" xfId="0" applyFont="1" applyFill="1" applyBorder="1" applyAlignment="1">
      <alignment horizontal="center"/>
    </xf>
    <xf numFmtId="0" fontId="5" fillId="0" borderId="64" xfId="0" applyFont="1" applyFill="1" applyBorder="1" applyAlignment="1">
      <alignment vertical="center" wrapText="1"/>
    </xf>
    <xf numFmtId="0" fontId="69" fillId="0" borderId="64" xfId="0" applyFont="1" applyFill="1" applyBorder="1" applyAlignment="1">
      <alignment vertical="center" wrapText="1"/>
    </xf>
    <xf numFmtId="0" fontId="4" fillId="0" borderId="64" xfId="0" applyFont="1" applyFill="1" applyBorder="1" applyAlignment="1">
      <alignment horizontal="center" vertical="center"/>
    </xf>
    <xf numFmtId="0" fontId="4" fillId="0" borderId="64" xfId="0" applyFont="1" applyFill="1" applyBorder="1" applyAlignment="1">
      <alignment vertical="center" wrapText="1"/>
    </xf>
    <xf numFmtId="49" fontId="4" fillId="0" borderId="64" xfId="0" applyNumberFormat="1" applyFont="1" applyFill="1" applyBorder="1" applyAlignment="1">
      <alignment horizontal="center" vertical="center" wrapText="1"/>
    </xf>
    <xf numFmtId="49" fontId="5" fillId="0" borderId="64" xfId="0" applyNumberFormat="1" applyFont="1" applyFill="1" applyBorder="1" applyAlignment="1">
      <alignment horizontal="center" vertical="center" wrapText="1"/>
    </xf>
    <xf numFmtId="0" fontId="4" fillId="0" borderId="64" xfId="0" applyFont="1" applyBorder="1" applyAlignment="1">
      <alignment horizontal="left" vertical="center" wrapText="1"/>
    </xf>
    <xf numFmtId="0" fontId="4" fillId="0" borderId="64" xfId="0" applyFont="1" applyBorder="1" applyAlignment="1">
      <alignment vertical="center" wrapText="1"/>
    </xf>
    <xf numFmtId="49" fontId="10" fillId="0" borderId="64" xfId="0" applyNumberFormat="1" applyFont="1" applyFill="1" applyBorder="1" applyAlignment="1">
      <alignment horizontal="center" vertical="center" wrapText="1"/>
    </xf>
    <xf numFmtId="0" fontId="4" fillId="0" borderId="64" xfId="0" applyFont="1" applyFill="1" applyBorder="1" applyAlignment="1">
      <alignment wrapText="1"/>
    </xf>
    <xf numFmtId="0" fontId="5" fillId="0" borderId="64" xfId="0" applyFont="1" applyFill="1" applyBorder="1" applyAlignment="1">
      <alignment vertical="center"/>
    </xf>
    <xf numFmtId="0" fontId="4" fillId="0" borderId="64" xfId="0" applyFont="1" applyBorder="1" applyAlignment="1">
      <alignment wrapText="1"/>
    </xf>
    <xf numFmtId="16" fontId="4" fillId="0" borderId="64" xfId="0" applyNumberFormat="1" applyFont="1" applyFill="1" applyBorder="1" applyAlignment="1">
      <alignment horizontal="center" vertical="center"/>
    </xf>
    <xf numFmtId="0" fontId="69" fillId="0" borderId="64" xfId="0" applyFont="1" applyFill="1" applyBorder="1" applyAlignment="1">
      <alignment/>
    </xf>
    <xf numFmtId="0" fontId="20" fillId="0" borderId="64" xfId="0" applyFont="1" applyFill="1" applyBorder="1" applyAlignment="1">
      <alignment vertical="center" wrapText="1"/>
    </xf>
    <xf numFmtId="0" fontId="4" fillId="0" borderId="64" xfId="0" applyFont="1" applyBorder="1" applyAlignment="1">
      <alignment horizontal="left" wrapText="1"/>
    </xf>
    <xf numFmtId="0" fontId="4" fillId="0" borderId="64" xfId="0" applyFont="1" applyFill="1" applyBorder="1" applyAlignment="1">
      <alignment horizontal="left" wrapText="1"/>
    </xf>
    <xf numFmtId="0" fontId="4" fillId="34" borderId="64" xfId="0" applyFont="1" applyFill="1" applyBorder="1" applyAlignment="1">
      <alignment vertical="center" wrapText="1"/>
    </xf>
    <xf numFmtId="3" fontId="5" fillId="34" borderId="64" xfId="0" applyNumberFormat="1" applyFont="1" applyFill="1" applyBorder="1" applyAlignment="1">
      <alignment horizontal="center" vertical="center"/>
    </xf>
    <xf numFmtId="0" fontId="66" fillId="0" borderId="64" xfId="0" applyFont="1" applyFill="1" applyBorder="1" applyAlignment="1">
      <alignment vertical="center" wrapText="1"/>
    </xf>
    <xf numFmtId="0" fontId="5" fillId="0" borderId="64" xfId="0" applyFont="1" applyBorder="1" applyAlignment="1">
      <alignment vertical="center" wrapText="1"/>
    </xf>
    <xf numFmtId="179" fontId="5" fillId="34" borderId="64" xfId="0" applyNumberFormat="1" applyFont="1" applyFill="1" applyBorder="1" applyAlignment="1">
      <alignment horizontal="center" vertical="center"/>
    </xf>
    <xf numFmtId="4" fontId="64" fillId="34" borderId="64" xfId="0" applyNumberFormat="1" applyFont="1" applyFill="1" applyBorder="1" applyAlignment="1">
      <alignment vertical="center"/>
    </xf>
    <xf numFmtId="4" fontId="5" fillId="34" borderId="64" xfId="0" applyNumberFormat="1" applyFont="1" applyFill="1" applyBorder="1" applyAlignment="1">
      <alignment horizontal="center" vertical="center"/>
    </xf>
    <xf numFmtId="0" fontId="4" fillId="35" borderId="64" xfId="0" applyFont="1" applyFill="1" applyBorder="1" applyAlignment="1">
      <alignment vertical="center" wrapText="1"/>
    </xf>
    <xf numFmtId="0" fontId="67" fillId="0" borderId="64" xfId="0" applyFont="1" applyFill="1" applyBorder="1" applyAlignment="1">
      <alignment vertical="center"/>
    </xf>
    <xf numFmtId="3" fontId="5" fillId="0" borderId="64" xfId="0" applyNumberFormat="1" applyFont="1" applyFill="1" applyBorder="1" applyAlignment="1">
      <alignment vertical="center"/>
    </xf>
    <xf numFmtId="2" fontId="5" fillId="0" borderId="64" xfId="0" applyNumberFormat="1" applyFont="1" applyFill="1" applyBorder="1" applyAlignment="1">
      <alignment vertical="center"/>
    </xf>
    <xf numFmtId="0" fontId="5" fillId="0" borderId="64" xfId="0" applyFont="1" applyFill="1" applyBorder="1" applyAlignment="1">
      <alignment wrapText="1"/>
    </xf>
    <xf numFmtId="0" fontId="4" fillId="0" borderId="64" xfId="0" applyFont="1" applyFill="1" applyBorder="1" applyAlignment="1">
      <alignment horizontal="left" vertical="center" wrapText="1"/>
    </xf>
    <xf numFmtId="0" fontId="3" fillId="0" borderId="64" xfId="0" applyFont="1" applyFill="1" applyBorder="1" applyAlignment="1">
      <alignment horizontal="center"/>
    </xf>
    <xf numFmtId="0" fontId="5" fillId="0" borderId="64" xfId="0" applyFont="1" applyBorder="1" applyAlignment="1">
      <alignment wrapText="1"/>
    </xf>
    <xf numFmtId="0" fontId="3" fillId="0" borderId="0" xfId="0" applyFont="1" applyFill="1" applyAlignment="1">
      <alignment horizontal="center"/>
    </xf>
    <xf numFmtId="9" fontId="5" fillId="0" borderId="64" xfId="57" applyFont="1" applyFill="1" applyBorder="1" applyAlignment="1">
      <alignment horizontal="center" vertical="center"/>
    </xf>
    <xf numFmtId="9" fontId="4" fillId="0" borderId="64" xfId="57" applyFont="1" applyFill="1" applyBorder="1" applyAlignment="1">
      <alignment horizontal="center" vertical="center"/>
    </xf>
    <xf numFmtId="9" fontId="4" fillId="0" borderId="64" xfId="57" applyNumberFormat="1" applyFont="1" applyFill="1" applyBorder="1" applyAlignment="1">
      <alignment horizontal="center" vertical="center"/>
    </xf>
    <xf numFmtId="183" fontId="4" fillId="0" borderId="64" xfId="57" applyNumberFormat="1" applyFont="1" applyFill="1" applyBorder="1" applyAlignment="1">
      <alignment horizontal="center" vertical="center"/>
    </xf>
    <xf numFmtId="177" fontId="61" fillId="0" borderId="0" xfId="0" applyNumberFormat="1" applyFont="1" applyFill="1" applyBorder="1" applyAlignment="1">
      <alignment horizontal="center"/>
    </xf>
    <xf numFmtId="2" fontId="61"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0" fontId="5" fillId="0" borderId="0" xfId="0" applyFont="1" applyFill="1" applyAlignment="1">
      <alignment horizontal="center"/>
    </xf>
    <xf numFmtId="0" fontId="62" fillId="0" borderId="0" xfId="0" applyFont="1" applyFill="1" applyAlignment="1">
      <alignment horizontal="center"/>
    </xf>
    <xf numFmtId="0" fontId="71" fillId="0" borderId="0" xfId="0" applyFont="1" applyFill="1" applyBorder="1" applyAlignment="1">
      <alignment vertical="center" wrapText="1"/>
    </xf>
    <xf numFmtId="3" fontId="9" fillId="0" borderId="0" xfId="0" applyNumberFormat="1" applyFont="1" applyFill="1" applyBorder="1" applyAlignment="1">
      <alignment horizontal="center"/>
    </xf>
    <xf numFmtId="1" fontId="9" fillId="33" borderId="0" xfId="0" applyNumberFormat="1" applyFont="1" applyFill="1" applyBorder="1" applyAlignment="1">
      <alignment horizontal="center"/>
    </xf>
    <xf numFmtId="3" fontId="4" fillId="0" borderId="0" xfId="0" applyNumberFormat="1" applyFont="1" applyFill="1" applyAlignment="1">
      <alignment wrapText="1"/>
    </xf>
    <xf numFmtId="2" fontId="5" fillId="0" borderId="0" xfId="0" applyNumberFormat="1" applyFont="1" applyFill="1" applyAlignment="1">
      <alignment vertical="center"/>
    </xf>
    <xf numFmtId="2" fontId="4" fillId="0" borderId="0" xfId="0" applyNumberFormat="1" applyFont="1" applyFill="1" applyAlignment="1">
      <alignment/>
    </xf>
    <xf numFmtId="9" fontId="5" fillId="0" borderId="64" xfId="58" applyFont="1" applyFill="1" applyBorder="1" applyAlignment="1">
      <alignment horizontal="center" vertical="center"/>
    </xf>
    <xf numFmtId="0" fontId="23" fillId="0" borderId="64" xfId="0" applyFont="1" applyFill="1" applyBorder="1" applyAlignment="1">
      <alignment vertical="center" wrapText="1"/>
    </xf>
    <xf numFmtId="2" fontId="26" fillId="0" borderId="64" xfId="0" applyNumberFormat="1" applyFont="1" applyFill="1" applyBorder="1" applyAlignment="1">
      <alignment vertical="center" wrapText="1"/>
    </xf>
    <xf numFmtId="3" fontId="15" fillId="0" borderId="64" xfId="0" applyNumberFormat="1" applyFont="1" applyFill="1" applyBorder="1" applyAlignment="1">
      <alignment horizontal="center" vertical="center"/>
    </xf>
    <xf numFmtId="3" fontId="14" fillId="0" borderId="64" xfId="0" applyNumberFormat="1" applyFont="1" applyFill="1" applyBorder="1" applyAlignment="1">
      <alignment horizontal="center" vertical="center"/>
    </xf>
    <xf numFmtId="2" fontId="10" fillId="0" borderId="64" xfId="0" applyNumberFormat="1" applyFont="1" applyFill="1" applyBorder="1" applyAlignment="1">
      <alignment vertical="center" wrapText="1"/>
    </xf>
    <xf numFmtId="0" fontId="23" fillId="0" borderId="64" xfId="0" applyFont="1" applyFill="1" applyBorder="1" applyAlignment="1">
      <alignment/>
    </xf>
    <xf numFmtId="0" fontId="17" fillId="0" borderId="64" xfId="0" applyFont="1" applyFill="1" applyBorder="1" applyAlignment="1">
      <alignment vertical="center" wrapText="1"/>
    </xf>
    <xf numFmtId="0" fontId="25" fillId="0" borderId="0" xfId="0" applyFont="1" applyFill="1" applyBorder="1" applyAlignment="1">
      <alignment vertical="center" wrapText="1"/>
    </xf>
    <xf numFmtId="4" fontId="14" fillId="33" borderId="64" xfId="0" applyNumberFormat="1" applyFont="1" applyFill="1" applyBorder="1" applyAlignment="1">
      <alignment vertical="center"/>
    </xf>
    <xf numFmtId="0" fontId="15" fillId="0" borderId="64" xfId="0" applyFont="1" applyFill="1" applyBorder="1" applyAlignment="1">
      <alignment vertical="center"/>
    </xf>
    <xf numFmtId="0" fontId="15" fillId="0" borderId="0" xfId="0" applyFont="1" applyFill="1" applyAlignment="1">
      <alignment vertical="center"/>
    </xf>
    <xf numFmtId="4" fontId="14" fillId="0" borderId="64" xfId="0" applyNumberFormat="1" applyFont="1" applyFill="1" applyBorder="1" applyAlignment="1">
      <alignment vertical="center"/>
    </xf>
    <xf numFmtId="4" fontId="24" fillId="0" borderId="64" xfId="0" applyNumberFormat="1" applyFont="1" applyFill="1" applyBorder="1" applyAlignment="1">
      <alignment vertical="center"/>
    </xf>
    <xf numFmtId="9" fontId="4" fillId="0" borderId="64" xfId="58" applyFont="1" applyFill="1" applyBorder="1" applyAlignment="1">
      <alignment horizontal="center" vertical="center"/>
    </xf>
    <xf numFmtId="9" fontId="4" fillId="0" borderId="64" xfId="58" applyNumberFormat="1" applyFont="1" applyFill="1" applyBorder="1" applyAlignment="1">
      <alignment horizontal="center" vertical="center"/>
    </xf>
    <xf numFmtId="183" fontId="4" fillId="0" borderId="64" xfId="58" applyNumberFormat="1" applyFont="1" applyFill="1" applyBorder="1" applyAlignment="1">
      <alignment horizontal="center" vertical="center"/>
    </xf>
    <xf numFmtId="177" fontId="9" fillId="0" borderId="0" xfId="0" applyNumberFormat="1" applyFont="1" applyFill="1" applyBorder="1" applyAlignment="1">
      <alignment horizontal="center"/>
    </xf>
    <xf numFmtId="9" fontId="4" fillId="0" borderId="0" xfId="58" applyFont="1" applyFill="1" applyBorder="1" applyAlignment="1">
      <alignment vertical="center"/>
    </xf>
    <xf numFmtId="0" fontId="23" fillId="0" borderId="40" xfId="0" applyFont="1" applyFill="1" applyBorder="1" applyAlignment="1">
      <alignment vertical="center" wrapText="1"/>
    </xf>
    <xf numFmtId="9" fontId="4" fillId="0" borderId="0" xfId="58" applyFont="1" applyFill="1" applyBorder="1" applyAlignment="1">
      <alignment horizontal="center" vertical="center"/>
    </xf>
    <xf numFmtId="0" fontId="17" fillId="0" borderId="15" xfId="0" applyFont="1" applyFill="1" applyBorder="1" applyAlignment="1">
      <alignment vertical="center" wrapText="1"/>
    </xf>
    <xf numFmtId="0" fontId="23" fillId="0" borderId="62" xfId="0" applyFont="1" applyFill="1" applyBorder="1" applyAlignment="1">
      <alignment vertical="center" wrapText="1"/>
    </xf>
    <xf numFmtId="2" fontId="9" fillId="0" borderId="0" xfId="0" applyNumberFormat="1" applyFont="1" applyFill="1" applyBorder="1" applyAlignment="1">
      <alignment horizontal="center"/>
    </xf>
    <xf numFmtId="49" fontId="10" fillId="0" borderId="0" xfId="0" applyNumberFormat="1" applyFont="1" applyFill="1" applyAlignment="1">
      <alignment horizontal="right" wrapText="1"/>
    </xf>
    <xf numFmtId="0" fontId="3" fillId="0" borderId="0" xfId="0" applyFont="1" applyFill="1" applyAlignment="1">
      <alignment horizontal="left"/>
    </xf>
    <xf numFmtId="3" fontId="4" fillId="0" borderId="0" xfId="0" applyNumberFormat="1" applyFont="1" applyAlignment="1">
      <alignment wrapText="1"/>
    </xf>
    <xf numFmtId="3" fontId="5" fillId="0" borderId="0" xfId="0" applyNumberFormat="1" applyFont="1" applyAlignment="1">
      <alignment wrapText="1"/>
    </xf>
    <xf numFmtId="0" fontId="12" fillId="0" borderId="0" xfId="0" applyFont="1" applyFill="1" applyAlignment="1">
      <alignment horizontal="center"/>
    </xf>
    <xf numFmtId="0" fontId="4" fillId="0" borderId="65" xfId="0" applyFont="1" applyBorder="1" applyAlignment="1">
      <alignment horizontal="left" vertical="center" wrapTex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7" fillId="0" borderId="65" xfId="0" applyFont="1" applyFill="1" applyBorder="1" applyAlignment="1">
      <alignment horizontal="left" vertical="top" wrapText="1"/>
    </xf>
    <xf numFmtId="0" fontId="7" fillId="0" borderId="66" xfId="0" applyFont="1" applyFill="1" applyBorder="1" applyAlignment="1">
      <alignment horizontal="left" vertical="top" wrapText="1"/>
    </xf>
    <xf numFmtId="0" fontId="7" fillId="0" borderId="67" xfId="0" applyFont="1" applyFill="1" applyBorder="1" applyAlignment="1">
      <alignment horizontal="left" vertical="top" wrapText="1"/>
    </xf>
    <xf numFmtId="0" fontId="5" fillId="0" borderId="64"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5" fillId="0" borderId="64" xfId="0" applyFont="1" applyBorder="1" applyAlignment="1">
      <alignment horizontal="center" vertical="center"/>
    </xf>
    <xf numFmtId="2" fontId="5" fillId="0" borderId="64" xfId="0" applyNumberFormat="1" applyFont="1" applyBorder="1" applyAlignment="1">
      <alignment horizontal="center" vertical="center" wrapText="1"/>
    </xf>
    <xf numFmtId="0" fontId="5" fillId="0" borderId="64" xfId="0" applyFont="1" applyFill="1" applyBorder="1" applyAlignment="1">
      <alignment horizontal="center" vertical="center"/>
    </xf>
    <xf numFmtId="0" fontId="4" fillId="0" borderId="64" xfId="0" applyFont="1" applyFill="1" applyBorder="1" applyAlignment="1">
      <alignment horizontal="center" vertical="center"/>
    </xf>
    <xf numFmtId="0" fontId="5" fillId="0" borderId="65"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0" xfId="0" applyFont="1" applyFill="1" applyAlignment="1">
      <alignment horizontal="center" vertical="center"/>
    </xf>
    <xf numFmtId="0" fontId="4" fillId="0" borderId="0" xfId="0" applyFont="1" applyFill="1" applyBorder="1" applyAlignment="1">
      <alignment horizontal="right" vertical="center"/>
    </xf>
    <xf numFmtId="0" fontId="4" fillId="33" borderId="0" xfId="0" applyFont="1" applyFill="1" applyAlignment="1">
      <alignment horizontal="right"/>
    </xf>
    <xf numFmtId="2" fontId="4" fillId="33" borderId="0" xfId="0" applyNumberFormat="1" applyFont="1" applyFill="1" applyAlignment="1">
      <alignment horizontal="right" vertical="center"/>
    </xf>
    <xf numFmtId="0" fontId="5" fillId="33" borderId="0" xfId="0" applyFont="1" applyFill="1" applyAlignment="1">
      <alignment vertical="center"/>
    </xf>
    <xf numFmtId="0" fontId="5" fillId="33" borderId="0" xfId="0" applyFont="1" applyFill="1" applyAlignment="1">
      <alignment horizontal="center" vertical="center"/>
    </xf>
    <xf numFmtId="0" fontId="4" fillId="0" borderId="60" xfId="0" applyFont="1" applyFill="1" applyBorder="1" applyAlignment="1">
      <alignment horizontal="right" vertical="center"/>
    </xf>
    <xf numFmtId="0" fontId="5" fillId="0" borderId="2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5" fillId="0" borderId="32" xfId="0" applyFont="1" applyFill="1" applyBorder="1" applyAlignment="1">
      <alignment horizontal="center" vertical="center"/>
    </xf>
    <xf numFmtId="0" fontId="4" fillId="34" borderId="41" xfId="0" applyFont="1" applyFill="1" applyBorder="1" applyAlignment="1">
      <alignment horizontal="left" vertical="center" wrapText="1"/>
    </xf>
    <xf numFmtId="0" fontId="4" fillId="34" borderId="15" xfId="0" applyFont="1" applyFill="1" applyBorder="1" applyAlignment="1">
      <alignment horizontal="left" vertical="center" wrapText="1"/>
    </xf>
    <xf numFmtId="0" fontId="4" fillId="0" borderId="32" xfId="0" applyFont="1" applyFill="1" applyBorder="1" applyAlignment="1">
      <alignment horizontal="center" vertical="center"/>
    </xf>
    <xf numFmtId="3" fontId="9" fillId="0" borderId="0" xfId="0" applyNumberFormat="1" applyFont="1" applyFill="1" applyBorder="1" applyAlignment="1">
      <alignment horizontal="center"/>
    </xf>
    <xf numFmtId="9" fontId="9" fillId="0" borderId="0" xfId="57" applyFont="1" applyFill="1" applyBorder="1" applyAlignment="1">
      <alignment horizontal="center" vertical="center"/>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5" fillId="0" borderId="63" xfId="0" applyFont="1" applyBorder="1" applyAlignment="1">
      <alignment horizontal="center" vertical="center"/>
    </xf>
    <xf numFmtId="0" fontId="7" fillId="0" borderId="16"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63" xfId="0" applyFont="1" applyFill="1" applyBorder="1" applyAlignment="1">
      <alignment horizontal="left" vertical="center" wrapText="1"/>
    </xf>
    <xf numFmtId="2" fontId="5" fillId="0" borderId="16" xfId="0" applyNumberFormat="1" applyFont="1" applyBorder="1" applyAlignment="1">
      <alignment horizontal="center" vertical="center" wrapText="1"/>
    </xf>
    <xf numFmtId="2" fontId="5" fillId="0" borderId="13" xfId="0" applyNumberFormat="1" applyFont="1" applyBorder="1" applyAlignment="1">
      <alignment horizontal="center" vertical="center" wrapText="1"/>
    </xf>
    <xf numFmtId="2" fontId="5" fillId="0" borderId="63" xfId="0" applyNumberFormat="1" applyFont="1" applyBorder="1" applyAlignment="1">
      <alignment horizontal="center" vertical="center" wrapText="1"/>
    </xf>
    <xf numFmtId="1" fontId="9" fillId="33" borderId="0" xfId="0" applyNumberFormat="1"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Процентный 2"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externalLink" Target="externalLinks/externalLink8.xml" /><Relationship Id="rId14" Type="http://schemas.openxmlformats.org/officeDocument/2006/relationships/externalLink" Target="externalLinks/externalLink9.xml" /><Relationship Id="rId15" Type="http://schemas.openxmlformats.org/officeDocument/2006/relationships/externalLink" Target="externalLinks/externalLink10.xml" /><Relationship Id="rId16" Type="http://schemas.openxmlformats.org/officeDocument/2006/relationships/externalLink" Target="externalLinks/externalLink11.xml" /><Relationship Id="rId17" Type="http://schemas.openxmlformats.org/officeDocument/2006/relationships/externalLink" Target="externalLinks/externalLink12.xml" /><Relationship Id="rId18" Type="http://schemas.openxmlformats.org/officeDocument/2006/relationships/externalLink" Target="externalLinks/externalLink13.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yusenbaeva\&#1084;&#1086;&#1080;%20&#1076;&#1086;&#1082;&#1091;&#1084;&#1077;&#1085;&#1090;&#1099;\&#1050;&#1086;&#1085;&#1089;&#1086;&#1083;&#1080;&#1076;&#1080;&#1088;&#1086;&#1074;&#1072;&#1085;&#1085;&#1099;&#1081;%20&#1086;&#1090;&#1095;&#1077;&#1090;\2017&#1075;\7%20&#1074;&#1072;&#1088;&#1080;&#1072;&#1085;&#1090;%2031.03.17&#1075;%20&#1055;&#1069;-5%20&#1089;%20&#1082;&#1086;&#1088;&#1088;&#1077;&#1082;&#1090;&#1080;&#1088;\&#1048;&#1089;&#1087;&#1086;&#1083;&#1085;&#1077;&#1085;&#1080;&#1077;%20&#1073;&#1102;&#1076;&#1078;&#1077;&#1090;&#1072;%20&#1079;&#1072;%202017%20&#1075;&#1086;&#1076;\&#1060;&#1072;&#1082;&#1090;%20&#1076;&#1086;&#1093;&#1086;&#1076;&#1099;%20&#1080;%20&#1088;&#1072;&#1089;&#1093;&#1086;&#1076;&#1099;%20&#1087;&#1086;%20&#1090;&#1077;&#1087;&#1083;&#1091;%20&#1079;&#1072;%202017%20&#1075;&#1086;&#1076;%20&#1089;%2001.04.17&#1075;..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yusenbaeva\&#1084;&#1086;&#1080;%20&#1076;&#1086;&#1082;&#1091;&#1084;&#1077;&#1085;&#1090;&#1099;\&#1048;&#1057;&#1055;&#1054;&#1051;&#1053;&#1045;&#1053;&#1048;&#1045;%20&#1058;&#1040;&#1056;&#1048;&#1060;&#1053;&#1054;&#1049;%20&#1057;&#1052;&#1045;&#1058;&#1067;\2021%20&#1075;&#1086;&#1076;\&#1048;&#1089;&#1087;&#1086;&#1083;.&#1090;&#1072;&#1088;&#1080;&#1092;%20&#1089;&#1084;&#1077;&#1090;&#1099;%20&#1079;&#1072;%202021%20&#1075;.&#1055;&#1072;&#1074;&#1083;&#1086;&#1076;&#1072;&#1088;.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Dyusenbaeva\&#1084;&#1086;&#1080;%20&#1076;&#1086;&#1082;&#1091;&#1084;&#1077;&#1085;&#1090;&#1099;\&#1044;&#1048;&#1060;-&#1058;&#1040;&#1056;&#1048;&#1060;&#1067;\2021%20&#1075;&#1086;&#1076;\&#1040;&#1085;&#1072;&#1083;&#1080;&#1079;.&#1087;&#1086;%20&#1076;&#1080;&#1092;.&#1090;&#1072;&#1088;&#1080;&#1092;&#1072;&#1084;%20&#1087;&#1086;%20&#1058;&#1069;&#1062;&#1072;&#1084;%20&#1079;&#1072;%202021&#1075;.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1048;&#1085;&#1092;.%20&#1087;&#1086;%20&#1054;&#1057;%20&#1080;%20&#1053;&#1052;&#1040;%20&#1085;&#1072;%202021%20&#1075;&#1086;&#1076;_%20(&#1089;%20&#1091;&#1095;&#1077;&#1090;&#1086;&#1084;%20&#1086;&#1078;&#1080;&#1076;&#1072;&#1077;&#1084;&#1086;&#1081;%20&#1087;&#1077;&#1088;&#1077;&#1086;&#1094;&#1077;&#1085;&#1082;&#1080;%20&#1054;&#1057;)%20&#1058;&#1069;.xlsx"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Dyusenbaeva\&#1084;&#1086;&#1080;%20&#1076;&#1086;&#1082;&#1091;&#1084;&#1077;&#1085;&#1090;&#1099;\&#1057;&#1074;&#1077;&#1076;&#1077;&#1085;&#1080;&#1103;%20&#1086;%20&#1076;&#1086;&#1093;&#1086;&#1076;&#1072;&#1093;%20&#1088;&#1072;&#1089;&#1093;&#1086;&#1076;&#1072;&#1093;\2021&#1075;\&#1044;&#1054;&#1061;&#1054;&#1044;&#1067;%20&#1048;%20&#1056;&#1040;&#1057;&#1061;&#1054;&#1044;&#1067;%20&#1047;&#1040;%202021%20&#1075;&#1086;&#1076;.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yusenbaeva\&#1084;&#1086;&#1080;%20&#1076;&#1086;&#1082;&#1091;&#1084;&#1077;&#1085;&#1090;&#1099;\&#1050;&#1086;&#1085;&#1089;&#1086;&#1083;&#1080;&#1076;&#1080;&#1088;&#1086;&#1074;&#1072;&#1085;&#1085;&#1099;&#1081;%20&#1086;&#1090;&#1095;&#1077;&#1090;\2018&#1075;\1%20&#1074;&#1072;&#1088;&#1080;&#1072;&#1085;&#1090;%2001.10.18&#1075;%20&#8212;%20&#1082;&#1086;&#1087;&#1080;&#1103;%20&#1089;%20&#1087;&#1077;&#1088;&#1077;&#1089;&#1095;.&#1090;&#1072;&#1088;&#1080;&#1092;&#1086;&#1084;%20&#1087;&#1086;%20&#1101;&#1101;\&#1048;&#1089;&#1087;&#1086;&#1083;&#1085;&#1077;&#1085;&#1080;&#1077;%20&#1073;&#1102;&#1076;&#1078;&#1077;&#1090;&#1072;%20&#1079;&#1072;%202018%20&#1075;&#1086;&#1076;\&#1060;&#1072;&#1082;&#1090;%20&#1076;&#1086;&#1093;&#1086;&#1076;&#1099;%20&#1080;%20&#1088;&#1072;&#1089;&#1093;&#1086;&#1076;&#1099;%20&#1087;&#1086;%20&#1090;&#1077;&#1087;&#1083;&#1091;%20&#1079;&#1072;%202018%20&#1075;&#1086;&#1076;%20&#1089;%2001.05.2018&#107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yusenbaeva\&#1084;&#1086;&#1080;%20&#1076;&#1086;&#1082;&#1091;&#1084;&#1077;&#1085;&#1090;&#1099;\&#1048;&#1057;&#1055;&#1054;&#1051;&#1053;&#1045;&#1053;&#1048;&#1045;%20&#1058;&#1040;&#1056;&#1048;&#1060;&#1053;&#1054;&#1049;%20&#1057;&#1052;&#1045;&#1058;&#1067;\2018&#1075;&#1086;&#1076;\&#1048;&#1089;&#1087;&#1086;&#1083;.&#1090;&#1072;&#1088;&#1080;&#1092;%20&#1089;&#1084;&#1077;&#1090;&#1099;%20&#1079;&#1072;%202018%20&#1075;.&#1055;&#1072;&#1074;&#1083;&#1086;&#1076;&#1072;&#108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yusenbaeva\&#1084;&#1086;&#1080;%20&#1076;&#1086;&#1082;&#1091;&#1084;&#1077;&#1085;&#1090;&#1099;\&#1057;&#1074;&#1077;&#1076;&#1077;&#1085;&#1080;&#1103;%20&#1086;%20&#1076;&#1086;&#1093;&#1086;&#1076;&#1072;&#1093;%20&#1088;&#1072;&#1089;&#1093;&#1086;&#1076;&#1072;&#1093;\2018&#1075;\&#1044;&#1054;&#1061;&#1054;&#1044;&#1067;%20&#1048;%20&#1056;&#1040;&#1057;&#1061;&#1054;&#1044;&#1067;%20&#1047;&#1040;%202018%20&#1043;&#1054;&#1044;.%20&#1088;&#1072;&#1089;&#1096;&#1080;&#1088;.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yusenbaeva\&#1084;&#1086;&#1080;%20&#1076;&#1086;&#1082;&#1091;&#1084;&#1077;&#1085;&#1090;&#1099;\&#1044;&#1048;&#1060;-&#1058;&#1040;&#1056;&#1048;&#1060;&#1067;\2018%20&#1075;&#1086;&#1076;\&#1040;&#1085;&#1072;&#1083;&#1080;&#1079;.&#1087;&#1086;%20&#1076;&#1080;&#1092;.&#1090;&#1072;&#1088;&#1080;&#1092;&#1072;&#1084;%20&#1087;&#1086;%20&#1058;&#1069;&#1062;&#1072;&#1084;%20&#1079;&#1072;%202018&#107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OmarovaAK\AppData\Local\Microsoft\Windows\INetCache\Content.Outlook\ZB8NA3BS\&#1048;&#1085;&#1092;&#1086;&#1088;&#1084;&#1072;&#1094;&#1080;&#1103;%20&#1087;&#1086;%20&#1054;&#1057;%20&#1080;%20&#1053;&#1052;&#1040;%20&#1085;&#1072;%2031.12.18&#1075;_%20%2009.04.19&#1075;.%20&#1087;&#1086;&#1089;&#1083;&#1077;%20&#1087;&#1077;&#1088;&#1077;&#1086;&#1094;&#1077;&#1085;&#1082;&#1080;%20&#1041;&#1088;&#1072;&#1090;&#1100;.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yusenbaeva\&#1084;&#1086;&#1080;%20&#1076;&#1086;&#1082;&#1091;&#1084;&#1077;&#1085;&#1090;&#1099;\&#1058;&#1077;&#1087;&#1083;&#1086;&#1101;&#1085;&#1077;&#1088;&#1075;&#1080;&#1103;\&#1050;&#1086;&#1088;&#1088;&#1077;&#1082;&#1090;&#1080;&#1088;&#1086;&#1074;&#1082;&#1080;%20&#1058;&#1057;\&#1050;&#1086;&#1088;&#1088;&#1077;&#1082;&#1090;&#1080;&#1088;&#1086;&#1074;&#1082;&#1072;%20&#1090;&#1072;&#1088;.&#1089;&#1084;&#1077;&#1090;&#1099;%202021&#1075;\&#1055;&#1088;&#1086;&#1077;&#1082;&#1090;%20&#1058;&#1057;%20&#1085;&#1072;%202021&#107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yusenbaeva\&#1084;&#1086;&#1080;%20&#1076;&#1086;&#1082;&#1091;&#1084;&#1077;&#1085;&#1090;&#1099;\&#1050;&#1086;&#1085;&#1089;&#1086;&#1083;&#1080;&#1076;&#1080;&#1088;&#1086;&#1074;&#1072;&#1085;&#1085;&#1099;&#1081;%20&#1086;&#1090;&#1095;&#1077;&#1090;\2021%20&#1075;&#1086;&#1076;\02.12.2020%20&#1089;%20&#1091;&#1095;&#1077;&#1090;&#1086;&#1084;%20&#1085;&#1086;&#1074;&#1099;&#1093;%20&#1090;&#1072;&#1088;&#1080;&#1092;&#1086;&#1074;\&#1048;&#1089;&#1087;&#1086;&#1083;&#1085;&#1077;&#1085;&#1080;&#1077;%20&#1073;&#1102;&#1076;&#1078;&#1077;&#1090;&#1072;%20&#1079;&#1072;%202021%20&#1075;&#1086;&#1076;\&#1060;&#1072;&#1082;&#1090;%20&#1076;&#1086;&#1093;&#1086;&#1076;&#1099;%20&#1080;%20&#1088;&#1072;&#1089;&#1093;&#1086;&#1076;&#1099;%20&#1087;&#1086;%20&#1090;&#1077;&#1087;&#1083;&#1091;%20&#1079;&#1072;%202021.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yusenbaeva\&#1084;&#1086;&#1080;%20&#1076;&#1086;&#1082;&#1091;&#1084;&#1077;&#1085;&#1090;&#1099;\&#1050;&#1086;&#1085;&#1089;&#1086;&#1083;&#1080;&#1076;&#1080;&#1088;&#1086;&#1074;&#1072;&#1085;&#1085;&#1099;&#1081;%20&#1086;&#1090;&#1095;&#1077;&#1090;\2021%20&#1075;&#1086;&#1076;\02.12.2020%20&#1089;%20&#1091;&#1095;&#1077;&#1090;&#1086;&#1084;%20&#1085;&#1086;&#1074;&#1099;&#1093;%20&#1090;&#1072;&#1088;&#1080;&#1092;&#1086;&#1074;\&#1048;&#1089;&#1087;&#1086;&#1083;&#1085;&#1077;&#1085;&#1080;&#1077;%20&#1073;&#1102;&#1076;&#1078;&#1077;&#1090;&#1072;%20&#1079;&#1072;%202021%20&#1075;&#1086;&#1076;\&#1060;&#1072;&#1082;&#1090;%20&#1076;&#1086;&#1093;&#1086;&#1076;&#1099;%20&#1080;%20&#1088;&#1072;&#1089;&#1093;&#1086;&#1076;&#1099;%20&#1087;&#1086;%20&#1090;&#1077;&#1087;&#1083;&#1091;%20&#1079;&#1072;%202021%20&#1089;%2001.08.2021%20&#107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г.Павлодар1"/>
      <sheetName val="г.Павлодар продолж. "/>
      <sheetName val="г.Экибастуз"/>
      <sheetName val="г.Экибастуз продолж."/>
      <sheetName val="янв-февр"/>
      <sheetName val="январь"/>
      <sheetName val="февр"/>
      <sheetName val="март"/>
    </sheetNames>
    <sheetDataSet>
      <sheetData sheetId="0">
        <row r="828">
          <cell r="EA828">
            <v>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исполнение тар.сметы-правда "/>
      <sheetName val="расшифровка"/>
      <sheetName val="коррек"/>
      <sheetName val="февраль"/>
      <sheetName val="март"/>
      <sheetName val="апрель"/>
      <sheetName val="май"/>
      <sheetName val="июнь"/>
      <sheetName val="январь-декабрь"/>
    </sheetNames>
    <sheetDataSet>
      <sheetData sheetId="0">
        <row r="22">
          <cell r="DA22">
            <v>8966.95302986544</v>
          </cell>
        </row>
        <row r="23">
          <cell r="DA23">
            <v>47.4561</v>
          </cell>
        </row>
        <row r="26">
          <cell r="DA26">
            <v>201226.6958518059</v>
          </cell>
        </row>
        <row r="27">
          <cell r="DA27">
            <v>15273.291696689088</v>
          </cell>
        </row>
        <row r="28">
          <cell r="DA28">
            <v>4097.4086194</v>
          </cell>
        </row>
        <row r="29">
          <cell r="DA29">
            <v>11996.248023126807</v>
          </cell>
        </row>
        <row r="36">
          <cell r="DA36">
            <v>44.1838803</v>
          </cell>
        </row>
        <row r="37">
          <cell r="DA37">
            <v>2860.288684434</v>
          </cell>
        </row>
        <row r="38">
          <cell r="DA38">
            <v>2156.352276789</v>
          </cell>
        </row>
        <row r="39">
          <cell r="DA39">
            <v>8266.493236133</v>
          </cell>
        </row>
        <row r="40">
          <cell r="DA40">
            <v>6705.947277179999</v>
          </cell>
        </row>
        <row r="43">
          <cell r="DA43">
            <v>9.79067</v>
          </cell>
        </row>
        <row r="44">
          <cell r="DA44">
            <v>145.18384980000002</v>
          </cell>
        </row>
        <row r="45">
          <cell r="DA45">
            <v>655.6390686</v>
          </cell>
        </row>
        <row r="46">
          <cell r="DA46">
            <v>11706.2878016</v>
          </cell>
        </row>
        <row r="47">
          <cell r="DA47">
            <v>413.88866599999994</v>
          </cell>
        </row>
        <row r="48">
          <cell r="DA48">
            <v>1286.5192661</v>
          </cell>
        </row>
        <row r="49">
          <cell r="DA49">
            <v>230.5003304</v>
          </cell>
        </row>
        <row r="50">
          <cell r="DA50">
            <v>620.6707091999999</v>
          </cell>
        </row>
        <row r="51">
          <cell r="DA51">
            <v>1101.3246</v>
          </cell>
        </row>
        <row r="52">
          <cell r="DA52">
            <v>130.53571533000002</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г.Павлодар 2021 год"/>
      <sheetName val="г.Экибастуз 2021 год"/>
    </sheetNames>
    <sheetDataSet>
      <sheetData sheetId="0">
        <row r="11">
          <cell r="CU11">
            <v>1853.2813811693773</v>
          </cell>
        </row>
        <row r="230">
          <cell r="CU230">
            <v>2797.73502159825</v>
          </cell>
        </row>
        <row r="452">
          <cell r="CU452">
            <v>6033.430977732312</v>
          </cell>
        </row>
        <row r="677">
          <cell r="CU677">
            <v>9410.343752979457</v>
          </cell>
        </row>
        <row r="908">
          <cell r="CU908">
            <v>5505.764015656875</v>
          </cell>
        </row>
        <row r="1146">
          <cell r="CU1146">
            <v>8366.979956571802</v>
          </cell>
        </row>
        <row r="1441">
          <cell r="CW1441">
            <v>-617972.1173895821</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ОС"/>
      <sheetName val="НМА"/>
      <sheetName val="1 полуг"/>
      <sheetName val="2полуг"/>
    </sheetNames>
    <sheetDataSet>
      <sheetData sheetId="0">
        <row r="20">
          <cell r="E20">
            <v>99577.3494977</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электро2"/>
      <sheetName val="январь 21г."/>
      <sheetName val="февраль 21г."/>
      <sheetName val="2 мес"/>
      <sheetName val="март 21г."/>
      <sheetName val="1 кв. 21г."/>
      <sheetName val="апрель 21г."/>
      <sheetName val="4 мес. 21г."/>
      <sheetName val="май 21г."/>
      <sheetName val="5 мес. 21г."/>
      <sheetName val="июнь 21г."/>
      <sheetName val="2 кв. 21г."/>
      <sheetName val="6 мес. 21г."/>
      <sheetName val="июль 21г."/>
      <sheetName val="7 мес. 21г."/>
      <sheetName val="август 21г."/>
      <sheetName val="8 мес. 21г."/>
      <sheetName val="сентябрь 21г."/>
      <sheetName val="3 кв. 21г."/>
      <sheetName val="9 мес. 21г."/>
      <sheetName val="октябрь 21г."/>
      <sheetName val="10 мес. 21г."/>
      <sheetName val="ноябрь 21г."/>
      <sheetName val="11 мес.21г"/>
      <sheetName val="декабрь 21г."/>
      <sheetName val="4 кв. 21г."/>
      <sheetName val="12 мес.21г"/>
      <sheetName val="1 кв 18г."/>
      <sheetName val="апрель"/>
      <sheetName val="4 мес "/>
      <sheetName val="май"/>
      <sheetName val="5 мес"/>
      <sheetName val="июнь"/>
      <sheetName val="6 мес"/>
      <sheetName val="июль"/>
      <sheetName val="7 мес"/>
      <sheetName val="август"/>
      <sheetName val="8 мес"/>
      <sheetName val="сентябрь"/>
      <sheetName val="9 мес"/>
      <sheetName val="октябрь"/>
      <sheetName val="10 мес"/>
      <sheetName val="ноябрь"/>
      <sheetName val="11 мес"/>
      <sheetName val="декабрь"/>
      <sheetName val="12 мес"/>
    </sheetNames>
    <sheetDataSet>
      <sheetData sheetId="26">
        <row r="275">
          <cell r="D275">
            <v>1946.8391599999998</v>
          </cell>
          <cell r="E275">
            <v>10141.499943700002</v>
          </cell>
        </row>
        <row r="289">
          <cell r="E289">
            <v>419.74910529999994</v>
          </cell>
        </row>
        <row r="290">
          <cell r="E290">
            <v>153.07999999999998</v>
          </cell>
        </row>
        <row r="291">
          <cell r="E291">
            <v>40.63500000000001</v>
          </cell>
        </row>
        <row r="294">
          <cell r="E294">
            <v>644.1634608</v>
          </cell>
        </row>
        <row r="295">
          <cell r="E295">
            <v>67.5714255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г.Павлодар 2018-1"/>
      <sheetName val="г.Экибастуз 2018-1"/>
      <sheetName val="г.Павлодар продолж. "/>
      <sheetName val="г.Экибастуз продолж."/>
    </sheetNames>
    <sheetDataSet>
      <sheetData sheetId="0">
        <row r="1006">
          <cell r="DV1006">
            <v>0</v>
          </cell>
        </row>
        <row r="1008">
          <cell r="DV1008">
            <v>0</v>
          </cell>
        </row>
      </sheetData>
      <sheetData sheetId="2">
        <row r="1507">
          <cell r="AA1507">
            <v>125.36500000000001</v>
          </cell>
        </row>
        <row r="1509">
          <cell r="AA1509">
            <v>544565.5016000001</v>
          </cell>
          <cell r="AF1509">
            <v>537607.7441</v>
          </cell>
        </row>
        <row r="1510">
          <cell r="AA1510">
            <v>4.459</v>
          </cell>
        </row>
        <row r="1512">
          <cell r="AA1512">
            <v>5612.45412</v>
          </cell>
          <cell r="AF1512">
            <v>5366.04978</v>
          </cell>
        </row>
        <row r="1513">
          <cell r="AA1513">
            <v>93.279</v>
          </cell>
        </row>
        <row r="1515">
          <cell r="AA1515">
            <v>396989.82726</v>
          </cell>
          <cell r="AF1515">
            <v>393430.99385999993</v>
          </cell>
        </row>
        <row r="1516">
          <cell r="AA1516">
            <v>3.2169999999999996</v>
          </cell>
        </row>
        <row r="1518">
          <cell r="AA1518">
            <v>3867.50957</v>
          </cell>
          <cell r="AF1518">
            <v>3716.64694</v>
          </cell>
        </row>
        <row r="1570">
          <cell r="AA1570">
            <v>1248.681654</v>
          </cell>
        </row>
        <row r="1571">
          <cell r="AO1571">
            <v>2284.3475196369022</v>
          </cell>
        </row>
        <row r="1572">
          <cell r="AA1572">
            <v>2635051.9096304695</v>
          </cell>
          <cell r="AF1572">
            <v>1796801.6518448703</v>
          </cell>
          <cell r="AG1572">
            <v>2182245.13291926</v>
          </cell>
        </row>
        <row r="1580">
          <cell r="AO1580">
            <v>2313.6214433949067</v>
          </cell>
        </row>
        <row r="1630">
          <cell r="AA1630">
            <v>323.15817000000004</v>
          </cell>
        </row>
        <row r="1632">
          <cell r="AA1632">
            <v>618614.96267638</v>
          </cell>
          <cell r="AF1632">
            <v>422519.78062198</v>
          </cell>
          <cell r="AG1632">
            <v>565698.6857815499</v>
          </cell>
        </row>
        <row r="1690">
          <cell r="AA1690">
            <v>599.6775120000001</v>
          </cell>
        </row>
        <row r="1691">
          <cell r="AO1691">
            <v>4731.124505101718</v>
          </cell>
        </row>
        <row r="1692">
          <cell r="AA1692">
            <v>2700383.40684843</v>
          </cell>
          <cell r="AF1692">
            <v>840918.40605501</v>
          </cell>
          <cell r="AG1692">
            <v>1047512.6960714102</v>
          </cell>
        </row>
        <row r="1709">
          <cell r="AM1709">
            <v>3411.890334988635</v>
          </cell>
          <cell r="AO1709">
            <v>4743.641087659885</v>
          </cell>
        </row>
        <row r="1780">
          <cell r="AA1780">
            <v>21.802131000000006</v>
          </cell>
        </row>
        <row r="1782">
          <cell r="AA1782">
            <v>95671.77138313002</v>
          </cell>
          <cell r="AF1782">
            <v>27164.551645819996</v>
          </cell>
          <cell r="AG1782">
            <v>38134.09421427</v>
          </cell>
        </row>
        <row r="1855">
          <cell r="AA1855">
            <v>278.775979</v>
          </cell>
        </row>
        <row r="1857">
          <cell r="AA1857">
            <v>1318447.2425321399</v>
          </cell>
          <cell r="AF1857">
            <v>380442.92494940996</v>
          </cell>
          <cell r="AG1857">
            <v>487231.6870607901</v>
          </cell>
        </row>
        <row r="1936">
          <cell r="AA1936">
            <v>17.143579000000003</v>
          </cell>
        </row>
        <row r="1938">
          <cell r="AA1938">
            <v>80040.23497462999</v>
          </cell>
          <cell r="AF1938">
            <v>20558.294310079997</v>
          </cell>
          <cell r="AG1938">
            <v>30002.881039100004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сполнение тар.сметы-правда "/>
      <sheetName val="коррек"/>
      <sheetName val="расшифровка"/>
      <sheetName val="коррект статей"/>
      <sheetName val="12 мес"/>
      <sheetName val="аморт"/>
      <sheetName val="Лист1"/>
      <sheetName val="Лист2"/>
      <sheetName val="для Аргинова"/>
    </sheetNames>
    <sheetDataSet>
      <sheetData sheetId="0">
        <row r="22">
          <cell r="DA22">
            <v>4783.723171540077</v>
          </cell>
        </row>
        <row r="23">
          <cell r="DA23">
            <v>36.70537221</v>
          </cell>
        </row>
        <row r="26">
          <cell r="DA26">
            <v>141973.8194454888</v>
          </cell>
        </row>
        <row r="27">
          <cell r="DA27">
            <v>13731.286647671208</v>
          </cell>
        </row>
        <row r="28">
          <cell r="DA28">
            <v>6195.754852148577</v>
          </cell>
        </row>
        <row r="31">
          <cell r="DA31">
            <v>9308.821178189999</v>
          </cell>
        </row>
        <row r="32">
          <cell r="DA32">
            <v>530.8874789399999</v>
          </cell>
        </row>
        <row r="35">
          <cell r="DA35">
            <v>171.33820704</v>
          </cell>
        </row>
        <row r="36">
          <cell r="DA36">
            <v>2413.1090225432627</v>
          </cell>
        </row>
        <row r="37">
          <cell r="DA37">
            <v>1872.6407930945002</v>
          </cell>
        </row>
        <row r="38">
          <cell r="DA38">
            <v>7030.6511595988195</v>
          </cell>
        </row>
        <row r="39">
          <cell r="DA39">
            <v>4907.199527692021</v>
          </cell>
        </row>
        <row r="42">
          <cell r="DA42">
            <v>10.440389699999999</v>
          </cell>
        </row>
        <row r="43">
          <cell r="DA43">
            <v>152.85262005</v>
          </cell>
        </row>
        <row r="44">
          <cell r="DA44">
            <v>591</v>
          </cell>
        </row>
        <row r="45">
          <cell r="DA45">
            <v>8381.055430799997</v>
          </cell>
        </row>
        <row r="46">
          <cell r="DA46">
            <v>346.39015151999996</v>
          </cell>
        </row>
        <row r="47">
          <cell r="DA47">
            <v>808.23770001</v>
          </cell>
        </row>
        <row r="48">
          <cell r="DA48">
            <v>343.3557324599999</v>
          </cell>
        </row>
        <row r="49">
          <cell r="DA49">
            <v>215.88767597000003</v>
          </cell>
        </row>
        <row r="50">
          <cell r="DA50">
            <v>803.65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электро2"/>
      <sheetName val="январь 18г."/>
      <sheetName val="февраль 18г."/>
      <sheetName val="2 мес"/>
      <sheetName val="март 18г."/>
      <sheetName val="1 кв 18г."/>
      <sheetName val="апрель"/>
      <sheetName val="4 мес "/>
      <sheetName val="май"/>
      <sheetName val="5 мес"/>
      <sheetName val="июнь"/>
      <sheetName val="6 мес"/>
      <sheetName val="июль"/>
      <sheetName val="7 мес"/>
      <sheetName val="август"/>
      <sheetName val="8 мес"/>
      <sheetName val="сентябрь"/>
      <sheetName val="9 мес"/>
      <sheetName val="октябрь"/>
      <sheetName val="10 мес"/>
      <sheetName val="ноябрь"/>
      <sheetName val="11 мес"/>
      <sheetName val="декабрь"/>
      <sheetName val="12 мес"/>
    </sheetNames>
    <sheetDataSet>
      <sheetData sheetId="23">
        <row r="270">
          <cell r="E270">
            <v>363.9318899999999</v>
          </cell>
          <cell r="F270">
            <v>1854.1271384999998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г.Павлодар 2018 год"/>
      <sheetName val="г.Экибастуз 2018 год"/>
      <sheetName val="г.Павлодар"/>
      <sheetName val="г.Экибастуз (2)"/>
      <sheetName val="г.Павлодар (2)"/>
      <sheetName val="г.Павлодар (3)"/>
    </sheetNames>
    <sheetDataSet>
      <sheetData sheetId="0">
        <row r="14">
          <cell r="CU14">
            <v>1882.85254862306</v>
          </cell>
        </row>
        <row r="110">
          <cell r="CU110">
            <v>1156.631872415923</v>
          </cell>
        </row>
        <row r="179">
          <cell r="CU179">
            <v>2744.7392578474787</v>
          </cell>
        </row>
        <row r="257">
          <cell r="CU257">
            <v>2445.2984685301058</v>
          </cell>
        </row>
        <row r="347">
          <cell r="CU347">
            <v>4427.529659627046</v>
          </cell>
        </row>
        <row r="447">
          <cell r="CU447">
            <v>4596.243449272329</v>
          </cell>
        </row>
        <row r="534">
          <cell r="CU534">
            <v>7116.079621570126</v>
          </cell>
        </row>
        <row r="621">
          <cell r="CU621">
            <v>7109.15933843118</v>
          </cell>
        </row>
        <row r="711">
          <cell r="CU711">
            <v>4320.547383547688</v>
          </cell>
        </row>
        <row r="895">
          <cell r="CU895">
            <v>7177.517336285044</v>
          </cell>
        </row>
        <row r="982">
          <cell r="CU982">
            <v>6976.062811485153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ОС"/>
      <sheetName val="НМА"/>
      <sheetName val="1 полуг"/>
      <sheetName val="2 полуг"/>
    </sheetNames>
    <sheetDataSet>
      <sheetData sheetId="0">
        <row r="23">
          <cell r="E23">
            <v>53424488.96928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Проект с коррет. 2021 "/>
      <sheetName val="Проект тарифн.смета"/>
    </sheetNames>
    <sheetDataSet>
      <sheetData sheetId="0">
        <row r="14">
          <cell r="K14">
            <v>2659279</v>
          </cell>
        </row>
        <row r="15">
          <cell r="L15">
            <v>2397</v>
          </cell>
          <cell r="N15">
            <v>11603</v>
          </cell>
        </row>
        <row r="16">
          <cell r="M16">
            <v>994291</v>
          </cell>
        </row>
        <row r="22">
          <cell r="K22">
            <v>4526.554592833876</v>
          </cell>
        </row>
        <row r="26">
          <cell r="K26">
            <v>98409.18</v>
          </cell>
        </row>
        <row r="27">
          <cell r="K27">
            <v>8414.18</v>
          </cell>
        </row>
        <row r="28">
          <cell r="K28">
            <v>1968.18</v>
          </cell>
        </row>
        <row r="36">
          <cell r="K36">
            <v>13.745454545454546</v>
          </cell>
          <cell r="M36">
            <v>1.2</v>
          </cell>
        </row>
        <row r="46">
          <cell r="K46">
            <v>10120.562287012495</v>
          </cell>
          <cell r="L46">
            <v>9.225672093903825</v>
          </cell>
          <cell r="M46">
            <v>900.7610753502461</v>
          </cell>
          <cell r="N46">
            <v>44.45096554335479</v>
          </cell>
        </row>
        <row r="47">
          <cell r="K47">
            <v>330.7277486910995</v>
          </cell>
          <cell r="M47">
            <v>29.376963350785342</v>
          </cell>
          <cell r="N47">
            <v>1.8952879581151834</v>
          </cell>
        </row>
        <row r="48">
          <cell r="K48">
            <v>8</v>
          </cell>
          <cell r="M48">
            <v>1</v>
          </cell>
        </row>
        <row r="50">
          <cell r="K50">
            <v>239</v>
          </cell>
          <cell r="M50">
            <v>21</v>
          </cell>
          <cell r="N50">
            <v>1</v>
          </cell>
        </row>
        <row r="52">
          <cell r="M52">
            <v>10.90402010050251</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г.Павлодар 2021"/>
      <sheetName val="г.Экибастуз 2021"/>
      <sheetName val="г.Павлодар продолж. "/>
      <sheetName val="г.Экибастуз продолж."/>
    </sheetNames>
    <sheetDataSet>
      <sheetData sheetId="0">
        <row r="2503">
          <cell r="EG2503">
            <v>6.593</v>
          </cell>
        </row>
        <row r="2505">
          <cell r="EG2505">
            <v>8862.24467</v>
          </cell>
          <cell r="EL2505">
            <v>8442.40243</v>
          </cell>
        </row>
        <row r="2530">
          <cell r="EG2530">
            <v>882.8472447</v>
          </cell>
        </row>
        <row r="2532">
          <cell r="EG2532">
            <v>1871313.494079985</v>
          </cell>
          <cell r="EL2532">
            <v>1079483.784196184</v>
          </cell>
          <cell r="EM2532">
            <v>1820881.2706661972</v>
          </cell>
        </row>
        <row r="2740">
          <cell r="EG2740">
            <v>396.0276852</v>
          </cell>
        </row>
        <row r="2742">
          <cell r="EG2742">
            <v>2215191.763271266</v>
          </cell>
          <cell r="EL2742">
            <v>491317.96782057296</v>
          </cell>
          <cell r="EM2742">
            <v>816811.0610018519</v>
          </cell>
        </row>
        <row r="2995">
          <cell r="EG2995">
            <v>168.44921300000001</v>
          </cell>
        </row>
        <row r="2997">
          <cell r="EG2997">
            <v>1047318.1400748539</v>
          </cell>
          <cell r="EL2997">
            <v>205456.18499861698</v>
          </cell>
          <cell r="EM2997">
            <v>347428.1863046301</v>
          </cell>
        </row>
        <row r="3293">
          <cell r="EG3293">
            <v>150.311</v>
          </cell>
        </row>
        <row r="3295">
          <cell r="EG3295">
            <v>717479.4963</v>
          </cell>
          <cell r="EL3295">
            <v>707904.6856</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г.Павлодар 2021"/>
      <sheetName val="г.Экибастуз 2021"/>
    </sheetNames>
    <sheetDataSet>
      <sheetData sheetId="0">
        <row r="877">
          <cell r="CZ877">
            <v>1.2426</v>
          </cell>
        </row>
        <row r="879">
          <cell r="CZ879">
            <v>1516.0714079999998</v>
          </cell>
          <cell r="DE879">
            <v>1437.737904</v>
          </cell>
        </row>
        <row r="2584">
          <cell r="CZ2584">
            <v>5.385</v>
          </cell>
        </row>
        <row r="2586">
          <cell r="CZ2586">
            <v>6313.266300000001</v>
          </cell>
          <cell r="DE2586">
            <v>5970.51105</v>
          </cell>
        </row>
        <row r="2611">
          <cell r="CZ2611">
            <v>641.4708714999999</v>
          </cell>
        </row>
        <row r="2613">
          <cell r="CZ2613">
            <v>1363751.8737926208</v>
          </cell>
          <cell r="DE2613">
            <v>724481.418938775</v>
          </cell>
          <cell r="DF2613">
            <v>1316028.8105519698</v>
          </cell>
        </row>
        <row r="2830">
          <cell r="CZ2830">
            <v>223.3628095</v>
          </cell>
        </row>
        <row r="2832">
          <cell r="CZ2832">
            <v>1284729.3574618371</v>
          </cell>
          <cell r="DE2832">
            <v>250272.30879190404</v>
          </cell>
          <cell r="DF2832">
            <v>458246.67271401</v>
          </cell>
        </row>
        <row r="3094">
          <cell r="CZ3094">
            <v>110.6029972</v>
          </cell>
        </row>
        <row r="3096">
          <cell r="CZ3096">
            <v>683901.34342428</v>
          </cell>
          <cell r="DE3096">
            <v>124678.244335107</v>
          </cell>
          <cell r="DF3096">
            <v>226910.896995576</v>
          </cell>
        </row>
        <row r="3401">
          <cell r="CZ3401">
            <v>99.558</v>
          </cell>
        </row>
        <row r="3403">
          <cell r="CZ3403">
            <v>475220.2014</v>
          </cell>
          <cell r="DE3403">
            <v>468878.35680000007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tabColor rgb="FFFF0000"/>
  </sheetPr>
  <dimension ref="A1:R101"/>
  <sheetViews>
    <sheetView tabSelected="1" zoomScale="85" zoomScaleNormal="85" zoomScaleSheetLayoutView="80" workbookViewId="0" topLeftCell="A1">
      <pane ySplit="16" topLeftCell="A17" activePane="bottomLeft" state="frozen"/>
      <selection pane="topLeft" activeCell="A1" sqref="A1"/>
      <selection pane="bottomLeft" activeCell="I41" sqref="I41"/>
    </sheetView>
  </sheetViews>
  <sheetFormatPr defaultColWidth="9.00390625" defaultRowHeight="12.75" outlineLevelRow="1"/>
  <cols>
    <col min="1" max="1" width="7.00390625" style="1" customWidth="1"/>
    <col min="2" max="2" width="64.875" style="1" customWidth="1"/>
    <col min="3" max="3" width="8.125" style="1" customWidth="1"/>
    <col min="4" max="4" width="15.25390625" style="1" customWidth="1"/>
    <col min="5" max="5" width="19.75390625" style="1" customWidth="1"/>
    <col min="6" max="8" width="14.625" style="1" customWidth="1"/>
    <col min="9" max="9" width="14.875" style="1" customWidth="1"/>
    <col min="10" max="10" width="20.00390625" style="1" customWidth="1"/>
    <col min="11" max="13" width="14.625" style="1" customWidth="1"/>
    <col min="14" max="14" width="15.125" style="325" customWidth="1"/>
    <col min="15" max="15" width="50.875" style="1" customWidth="1"/>
    <col min="16" max="16" width="15.375" style="1" customWidth="1"/>
    <col min="17" max="17" width="28.875" style="222" customWidth="1"/>
    <col min="18" max="16384" width="9.125" style="1" customWidth="1"/>
  </cols>
  <sheetData>
    <row r="1" spans="1:18" ht="18.75">
      <c r="A1" s="13"/>
      <c r="B1" s="13"/>
      <c r="C1" s="13"/>
      <c r="D1" s="13"/>
      <c r="E1" s="14"/>
      <c r="F1" s="14"/>
      <c r="G1" s="14"/>
      <c r="H1" s="14"/>
      <c r="I1" s="14"/>
      <c r="O1" s="269" t="s">
        <v>98</v>
      </c>
      <c r="R1" s="268"/>
    </row>
    <row r="2" spans="1:18" ht="14.25" customHeight="1">
      <c r="A2" s="147"/>
      <c r="B2" s="147"/>
      <c r="C2" s="147"/>
      <c r="D2" s="147"/>
      <c r="O2" s="270" t="s">
        <v>227</v>
      </c>
      <c r="R2" s="268"/>
    </row>
    <row r="3" spans="1:18" ht="18.75">
      <c r="A3" s="147"/>
      <c r="B3" s="147"/>
      <c r="C3" s="147"/>
      <c r="D3" s="147"/>
      <c r="O3" s="269" t="s">
        <v>228</v>
      </c>
      <c r="R3" s="268"/>
    </row>
    <row r="4" spans="4:17" ht="15.75">
      <c r="D4" s="258"/>
      <c r="E4" s="258"/>
      <c r="F4" s="258"/>
      <c r="G4" s="258"/>
      <c r="H4" s="258"/>
      <c r="I4" s="258"/>
      <c r="Q4" s="266"/>
    </row>
    <row r="5" spans="1:17" ht="30.75" customHeight="1" outlineLevel="1">
      <c r="A5" s="259"/>
      <c r="B5" s="384" t="s">
        <v>263</v>
      </c>
      <c r="C5" s="384"/>
      <c r="D5" s="384"/>
      <c r="E5" s="384"/>
      <c r="F5" s="384"/>
      <c r="G5" s="384"/>
      <c r="H5" s="384"/>
      <c r="I5" s="384"/>
      <c r="J5" s="384"/>
      <c r="K5" s="384"/>
      <c r="L5" s="384"/>
      <c r="M5" s="384"/>
      <c r="N5" s="384"/>
      <c r="O5" s="384"/>
      <c r="P5" s="31"/>
      <c r="Q5" s="217"/>
    </row>
    <row r="6" spans="1:17" ht="22.5" customHeight="1" outlineLevel="1">
      <c r="A6" s="259"/>
      <c r="B6" s="260"/>
      <c r="C6" s="260"/>
      <c r="D6" s="260"/>
      <c r="E6" s="260"/>
      <c r="F6" s="260"/>
      <c r="G6" s="260"/>
      <c r="H6" s="260"/>
      <c r="I6" s="260"/>
      <c r="J6" s="260"/>
      <c r="K6" s="260"/>
      <c r="L6" s="260"/>
      <c r="M6" s="260"/>
      <c r="N6" s="260"/>
      <c r="O6" s="260"/>
      <c r="P6" s="31"/>
      <c r="Q6" s="217"/>
    </row>
    <row r="7" spans="1:17" ht="15.75" outlineLevel="1">
      <c r="A7" s="261" t="s">
        <v>231</v>
      </c>
      <c r="C7" s="259"/>
      <c r="D7" s="259"/>
      <c r="E7" s="259"/>
      <c r="F7" s="259"/>
      <c r="G7" s="259"/>
      <c r="H7" s="259"/>
      <c r="I7" s="259"/>
      <c r="J7" s="259"/>
      <c r="K7" s="259"/>
      <c r="L7" s="259"/>
      <c r="M7" s="259"/>
      <c r="N7" s="260"/>
      <c r="O7" s="31"/>
      <c r="P7" s="31"/>
      <c r="Q7" s="217"/>
    </row>
    <row r="8" spans="1:17" ht="15.75" outlineLevel="1">
      <c r="A8" s="261" t="s">
        <v>112</v>
      </c>
      <c r="C8" s="259"/>
      <c r="D8" s="259"/>
      <c r="E8" s="259"/>
      <c r="F8" s="259"/>
      <c r="G8" s="259"/>
      <c r="H8" s="259"/>
      <c r="I8" s="259"/>
      <c r="J8" s="259"/>
      <c r="K8" s="259"/>
      <c r="L8" s="259"/>
      <c r="M8" s="259"/>
      <c r="N8" s="260"/>
      <c r="O8" s="31"/>
      <c r="P8" s="31"/>
      <c r="Q8" s="217"/>
    </row>
    <row r="9" spans="1:17" ht="15.75" outlineLevel="1">
      <c r="A9" s="261" t="s">
        <v>222</v>
      </c>
      <c r="C9" s="259"/>
      <c r="D9" s="259"/>
      <c r="E9" s="259"/>
      <c r="F9" s="259"/>
      <c r="G9" s="259"/>
      <c r="H9" s="259"/>
      <c r="I9" s="259"/>
      <c r="J9" s="259"/>
      <c r="K9" s="259"/>
      <c r="L9" s="259"/>
      <c r="M9" s="259"/>
      <c r="N9" s="260"/>
      <c r="O9" s="31"/>
      <c r="P9" s="31"/>
      <c r="Q9" s="217"/>
    </row>
    <row r="10" spans="1:17" ht="15.75" outlineLevel="1">
      <c r="A10" s="261" t="s">
        <v>105</v>
      </c>
      <c r="C10" s="259"/>
      <c r="D10" s="259"/>
      <c r="E10" s="259"/>
      <c r="F10" s="259"/>
      <c r="G10" s="259"/>
      <c r="H10" s="259"/>
      <c r="I10" s="259"/>
      <c r="J10" s="259"/>
      <c r="K10" s="259"/>
      <c r="L10" s="259"/>
      <c r="M10" s="259"/>
      <c r="N10" s="260"/>
      <c r="O10" s="31"/>
      <c r="P10" s="31"/>
      <c r="Q10" s="217"/>
    </row>
    <row r="11" spans="1:17" ht="15.75" outlineLevel="1">
      <c r="A11" s="261" t="s">
        <v>223</v>
      </c>
      <c r="C11" s="259"/>
      <c r="D11" s="259"/>
      <c r="E11" s="259"/>
      <c r="F11" s="259"/>
      <c r="G11" s="259"/>
      <c r="H11" s="259"/>
      <c r="I11" s="259"/>
      <c r="J11" s="259"/>
      <c r="K11" s="259"/>
      <c r="L11" s="259"/>
      <c r="M11" s="259"/>
      <c r="N11" s="260"/>
      <c r="O11" s="31"/>
      <c r="P11" s="31"/>
      <c r="Q11" s="217"/>
    </row>
    <row r="12" spans="1:17" ht="15.75" outlineLevel="1">
      <c r="A12" s="10" t="s">
        <v>94</v>
      </c>
      <c r="C12" s="262"/>
      <c r="D12" s="31"/>
      <c r="E12" s="31"/>
      <c r="F12" s="10"/>
      <c r="G12" s="10"/>
      <c r="H12" s="10"/>
      <c r="I12" s="10"/>
      <c r="J12" s="10"/>
      <c r="K12" s="31"/>
      <c r="L12" s="10"/>
      <c r="M12" s="10"/>
      <c r="N12" s="33"/>
      <c r="O12" s="10"/>
      <c r="P12" s="10"/>
      <c r="Q12" s="218"/>
    </row>
    <row r="13" spans="1:17" ht="19.5" customHeight="1" outlineLevel="1">
      <c r="A13" s="33"/>
      <c r="B13" s="10"/>
      <c r="C13" s="262"/>
      <c r="D13" s="263"/>
      <c r="E13" s="263"/>
      <c r="F13" s="263"/>
      <c r="G13" s="263"/>
      <c r="H13" s="263"/>
      <c r="I13" s="263"/>
      <c r="J13" s="10"/>
      <c r="K13" s="31"/>
      <c r="L13" s="10"/>
      <c r="M13" s="10"/>
      <c r="N13" s="385"/>
      <c r="O13" s="385"/>
      <c r="P13" s="10"/>
      <c r="Q13" s="218"/>
    </row>
    <row r="14" spans="1:17" ht="30" customHeight="1">
      <c r="A14" s="376" t="s">
        <v>244</v>
      </c>
      <c r="B14" s="376" t="s">
        <v>93</v>
      </c>
      <c r="C14" s="376" t="s">
        <v>74</v>
      </c>
      <c r="D14" s="380" t="s">
        <v>240</v>
      </c>
      <c r="E14" s="380"/>
      <c r="F14" s="380"/>
      <c r="G14" s="380"/>
      <c r="H14" s="380"/>
      <c r="I14" s="376" t="s">
        <v>241</v>
      </c>
      <c r="J14" s="376"/>
      <c r="K14" s="376"/>
      <c r="L14" s="376"/>
      <c r="M14" s="376"/>
      <c r="N14" s="382" t="s">
        <v>262</v>
      </c>
      <c r="O14" s="376" t="s">
        <v>106</v>
      </c>
      <c r="Q14" s="1"/>
    </row>
    <row r="15" spans="1:17" ht="51" customHeight="1">
      <c r="A15" s="376"/>
      <c r="B15" s="376"/>
      <c r="C15" s="376"/>
      <c r="D15" s="376" t="s">
        <v>67</v>
      </c>
      <c r="E15" s="377" t="s">
        <v>68</v>
      </c>
      <c r="F15" s="377" t="s">
        <v>69</v>
      </c>
      <c r="G15" s="377"/>
      <c r="H15" s="377"/>
      <c r="I15" s="376" t="s">
        <v>67</v>
      </c>
      <c r="J15" s="377" t="s">
        <v>68</v>
      </c>
      <c r="K15" s="377" t="s">
        <v>69</v>
      </c>
      <c r="L15" s="377"/>
      <c r="M15" s="377"/>
      <c r="N15" s="383"/>
      <c r="O15" s="376"/>
      <c r="Q15" s="1"/>
    </row>
    <row r="16" spans="1:17" ht="53.25" customHeight="1">
      <c r="A16" s="376"/>
      <c r="B16" s="376"/>
      <c r="C16" s="376"/>
      <c r="D16" s="376"/>
      <c r="E16" s="377"/>
      <c r="F16" s="289" t="s">
        <v>232</v>
      </c>
      <c r="G16" s="289" t="s">
        <v>234</v>
      </c>
      <c r="H16" s="289" t="s">
        <v>233</v>
      </c>
      <c r="I16" s="376"/>
      <c r="J16" s="377"/>
      <c r="K16" s="289" t="s">
        <v>232</v>
      </c>
      <c r="L16" s="289" t="s">
        <v>234</v>
      </c>
      <c r="M16" s="289" t="s">
        <v>233</v>
      </c>
      <c r="N16" s="383"/>
      <c r="O16" s="376"/>
      <c r="Q16" s="1"/>
    </row>
    <row r="17" spans="1:17" ht="15.75">
      <c r="A17" s="291">
        <v>1</v>
      </c>
      <c r="B17" s="290">
        <v>2</v>
      </c>
      <c r="C17" s="290">
        <v>3</v>
      </c>
      <c r="D17" s="292">
        <v>4</v>
      </c>
      <c r="E17" s="292">
        <v>5</v>
      </c>
      <c r="F17" s="292">
        <v>6</v>
      </c>
      <c r="G17" s="292">
        <v>7</v>
      </c>
      <c r="H17" s="292">
        <v>8</v>
      </c>
      <c r="I17" s="292">
        <v>9</v>
      </c>
      <c r="J17" s="292">
        <v>10</v>
      </c>
      <c r="K17" s="292">
        <v>11</v>
      </c>
      <c r="L17" s="292">
        <v>12</v>
      </c>
      <c r="M17" s="292">
        <v>13</v>
      </c>
      <c r="N17" s="291">
        <v>14</v>
      </c>
      <c r="O17" s="291">
        <v>15</v>
      </c>
      <c r="P17" s="283"/>
      <c r="Q17" s="1"/>
    </row>
    <row r="18" spans="1:17" ht="31.5">
      <c r="A18" s="291" t="s">
        <v>11</v>
      </c>
      <c r="B18" s="293" t="s">
        <v>101</v>
      </c>
      <c r="C18" s="290" t="s">
        <v>12</v>
      </c>
      <c r="D18" s="276">
        <f aca="true" t="shared" si="0" ref="D18:M18">D20</f>
        <v>8534931</v>
      </c>
      <c r="E18" s="276">
        <f t="shared" si="0"/>
        <v>7526640</v>
      </c>
      <c r="F18" s="276">
        <f t="shared" si="0"/>
        <v>2397</v>
      </c>
      <c r="G18" s="276">
        <f t="shared" si="0"/>
        <v>994291</v>
      </c>
      <c r="H18" s="276">
        <f t="shared" si="0"/>
        <v>11603</v>
      </c>
      <c r="I18" s="276">
        <f t="shared" si="0"/>
        <v>9054630.501099396</v>
      </c>
      <c r="J18" s="276">
        <f t="shared" si="0"/>
        <v>7861996.807315395</v>
      </c>
      <c r="K18" s="276">
        <f t="shared" si="0"/>
        <v>1437.737904</v>
      </c>
      <c r="L18" s="276">
        <f t="shared" si="0"/>
        <v>1176783.0424000002</v>
      </c>
      <c r="M18" s="276">
        <f t="shared" si="0"/>
        <v>14412.91348</v>
      </c>
      <c r="N18" s="326">
        <f>I18/D18-1</f>
        <v>0.06089088489401928</v>
      </c>
      <c r="O18" s="294"/>
      <c r="Q18" s="1"/>
    </row>
    <row r="19" spans="1:17" ht="20.25" customHeight="1">
      <c r="A19" s="295"/>
      <c r="B19" s="296" t="s">
        <v>13</v>
      </c>
      <c r="C19" s="297"/>
      <c r="D19" s="275"/>
      <c r="E19" s="275"/>
      <c r="F19" s="275"/>
      <c r="G19" s="275"/>
      <c r="H19" s="275"/>
      <c r="I19" s="275"/>
      <c r="J19" s="275"/>
      <c r="K19" s="275"/>
      <c r="L19" s="275"/>
      <c r="M19" s="275"/>
      <c r="N19" s="326"/>
      <c r="O19" s="294"/>
      <c r="Q19" s="1"/>
    </row>
    <row r="20" spans="1:17" ht="18.75">
      <c r="A20" s="291">
        <v>1</v>
      </c>
      <c r="B20" s="293" t="s">
        <v>14</v>
      </c>
      <c r="C20" s="298" t="s">
        <v>15</v>
      </c>
      <c r="D20" s="276">
        <f aca="true" t="shared" si="1" ref="D20:M20">D22+D23+D24+D25</f>
        <v>8534931</v>
      </c>
      <c r="E20" s="276">
        <f t="shared" si="1"/>
        <v>7526640</v>
      </c>
      <c r="F20" s="276">
        <f t="shared" si="1"/>
        <v>2397</v>
      </c>
      <c r="G20" s="276">
        <f t="shared" si="1"/>
        <v>994291</v>
      </c>
      <c r="H20" s="276">
        <f t="shared" si="1"/>
        <v>11603</v>
      </c>
      <c r="I20" s="276">
        <f t="shared" si="1"/>
        <v>9054630.501099396</v>
      </c>
      <c r="J20" s="276">
        <f t="shared" si="1"/>
        <v>7861996.807315395</v>
      </c>
      <c r="K20" s="276">
        <f t="shared" si="1"/>
        <v>1437.737904</v>
      </c>
      <c r="L20" s="276">
        <f t="shared" si="1"/>
        <v>1176783.0424000002</v>
      </c>
      <c r="M20" s="276">
        <f t="shared" si="1"/>
        <v>14412.91348</v>
      </c>
      <c r="N20" s="326">
        <f aca="true" t="shared" si="2" ref="N20:N68">I20/D20-1</f>
        <v>0.06089088489401928</v>
      </c>
      <c r="O20" s="294"/>
      <c r="Q20" s="1"/>
    </row>
    <row r="21" spans="1:17" ht="21" customHeight="1">
      <c r="A21" s="295"/>
      <c r="B21" s="296" t="s">
        <v>13</v>
      </c>
      <c r="C21" s="297" t="s">
        <v>15</v>
      </c>
      <c r="D21" s="280"/>
      <c r="E21" s="280"/>
      <c r="F21" s="280"/>
      <c r="G21" s="280"/>
      <c r="H21" s="280"/>
      <c r="I21" s="280"/>
      <c r="J21" s="280"/>
      <c r="K21" s="280"/>
      <c r="L21" s="280"/>
      <c r="M21" s="280"/>
      <c r="N21" s="326"/>
      <c r="O21" s="294"/>
      <c r="Q21" s="1"/>
    </row>
    <row r="22" spans="1:17" ht="78.75">
      <c r="A22" s="295" t="s">
        <v>0</v>
      </c>
      <c r="B22" s="296" t="s">
        <v>16</v>
      </c>
      <c r="C22" s="297" t="s">
        <v>15</v>
      </c>
      <c r="D22" s="275">
        <f>E22</f>
        <v>2659279</v>
      </c>
      <c r="E22" s="275">
        <f>'[7]Проект с коррет. 2021 '!$K$14</f>
        <v>2659279</v>
      </c>
      <c r="F22" s="277"/>
      <c r="G22" s="277"/>
      <c r="H22" s="277"/>
      <c r="I22" s="275">
        <f>J22+K22+L22+M22</f>
        <v>2875689.90908116</v>
      </c>
      <c r="J22" s="275">
        <f>'[8]г.Павлодар 2021'!$EL$2997+'[8]г.Павлодар 2021'!$EL$2742+'[8]г.Павлодар 2021'!$EL$2532+'[9]г.Павлодар 2021'!$DE$3096+'[9]г.Павлодар 2021'!$DE$2832+'[9]г.Павлодар 2021'!$DE$2613</f>
        <v>2875689.90908116</v>
      </c>
      <c r="K22" s="275">
        <v>0</v>
      </c>
      <c r="L22" s="275">
        <v>0</v>
      </c>
      <c r="M22" s="275">
        <v>0</v>
      </c>
      <c r="N22" s="326">
        <f t="shared" si="2"/>
        <v>0.0813795427561983</v>
      </c>
      <c r="O22" s="300" t="s">
        <v>266</v>
      </c>
      <c r="Q22" s="1"/>
    </row>
    <row r="23" spans="1:17" ht="141.75">
      <c r="A23" s="295" t="s">
        <v>1</v>
      </c>
      <c r="B23" s="296" t="s">
        <v>264</v>
      </c>
      <c r="C23" s="297" t="s">
        <v>15</v>
      </c>
      <c r="D23" s="278">
        <f>F23+H23</f>
        <v>14000</v>
      </c>
      <c r="E23" s="278"/>
      <c r="F23" s="278">
        <f>'[7]Проект с коррет. 2021 '!$L$15</f>
        <v>2397</v>
      </c>
      <c r="G23" s="278"/>
      <c r="H23" s="278">
        <f>'[7]Проект с коррет. 2021 '!$N$15</f>
        <v>11603</v>
      </c>
      <c r="I23" s="278">
        <f>J23+K23+L23+M23</f>
        <v>15850.651383999999</v>
      </c>
      <c r="J23" s="278">
        <v>0</v>
      </c>
      <c r="K23" s="278">
        <f>'[9]г.Павлодар 2021'!$DE$879</f>
        <v>1437.737904</v>
      </c>
      <c r="L23" s="278">
        <v>0</v>
      </c>
      <c r="M23" s="278">
        <f>'[8]г.Павлодар 2021'!$EL$2505+'[9]г.Павлодар 2021'!$DE$2586</f>
        <v>14412.91348</v>
      </c>
      <c r="N23" s="326">
        <f t="shared" si="2"/>
        <v>0.1321893845714286</v>
      </c>
      <c r="O23" s="300" t="s">
        <v>267</v>
      </c>
      <c r="Q23" s="1"/>
    </row>
    <row r="24" spans="1:17" ht="102.75" customHeight="1">
      <c r="A24" s="295" t="s">
        <v>56</v>
      </c>
      <c r="B24" s="296" t="s">
        <v>265</v>
      </c>
      <c r="C24" s="297" t="s">
        <v>15</v>
      </c>
      <c r="D24" s="275">
        <f>G24</f>
        <v>994291</v>
      </c>
      <c r="E24" s="275"/>
      <c r="F24" s="275"/>
      <c r="G24" s="275">
        <f>'[7]Проект с коррет. 2021 '!$M$16</f>
        <v>994291</v>
      </c>
      <c r="H24" s="275"/>
      <c r="I24" s="275">
        <f>J24+K24+L24+M24</f>
        <v>1176783.0424000002</v>
      </c>
      <c r="J24" s="275">
        <v>0</v>
      </c>
      <c r="K24" s="275">
        <v>0</v>
      </c>
      <c r="L24" s="275">
        <f>'[8]г.Павлодар 2021'!$EL$3295+'[9]г.Павлодар 2021'!$DE$3403</f>
        <v>1176783.0424000002</v>
      </c>
      <c r="M24" s="275">
        <f>0</f>
        <v>0</v>
      </c>
      <c r="N24" s="326">
        <f t="shared" si="2"/>
        <v>0.18353987152654527</v>
      </c>
      <c r="O24" s="296" t="s">
        <v>276</v>
      </c>
      <c r="Q24" s="1"/>
    </row>
    <row r="25" spans="1:17" ht="78.75">
      <c r="A25" s="295" t="s">
        <v>57</v>
      </c>
      <c r="B25" s="296" t="s">
        <v>17</v>
      </c>
      <c r="C25" s="297" t="s">
        <v>15</v>
      </c>
      <c r="D25" s="275">
        <f>E25</f>
        <v>4867361</v>
      </c>
      <c r="E25" s="275">
        <v>4867361</v>
      </c>
      <c r="F25" s="275"/>
      <c r="G25" s="275"/>
      <c r="H25" s="275"/>
      <c r="I25" s="275">
        <f>J25+K25+L25+M25</f>
        <v>4986306.898234235</v>
      </c>
      <c r="J25" s="275">
        <f>'[8]г.Павлодар 2021'!$EM$2997+'[8]г.Павлодар 2021'!$EM$2742+'[8]г.Павлодар 2021'!$EM$2532+'[9]г.Павлодар 2021'!$DF$3096+'[9]г.Павлодар 2021'!$DF$2832+'[9]г.Павлодар 2021'!$DF$2613</f>
        <v>4986306.898234235</v>
      </c>
      <c r="K25" s="275">
        <v>0</v>
      </c>
      <c r="L25" s="275">
        <v>0</v>
      </c>
      <c r="M25" s="275">
        <v>0</v>
      </c>
      <c r="N25" s="326">
        <f t="shared" si="2"/>
        <v>0.024437451472006044</v>
      </c>
      <c r="O25" s="299" t="s">
        <v>261</v>
      </c>
      <c r="Q25" s="1"/>
    </row>
    <row r="26" spans="1:17" ht="18.75">
      <c r="A26" s="291" t="s">
        <v>18</v>
      </c>
      <c r="B26" s="293" t="s">
        <v>4</v>
      </c>
      <c r="C26" s="298" t="s">
        <v>15</v>
      </c>
      <c r="D26" s="276">
        <f aca="true" t="shared" si="3" ref="D26:M26">D28+D32+D37+D42+D38</f>
        <v>165376.63999999998</v>
      </c>
      <c r="E26" s="276">
        <f t="shared" si="3"/>
        <v>151129.22807303266</v>
      </c>
      <c r="F26" s="276">
        <f t="shared" si="3"/>
        <v>131.02567209390384</v>
      </c>
      <c r="G26" s="276">
        <f t="shared" si="3"/>
        <v>13449.042058801533</v>
      </c>
      <c r="H26" s="276">
        <f t="shared" si="3"/>
        <v>665.8442434512187</v>
      </c>
      <c r="I26" s="276">
        <f t="shared" si="3"/>
        <v>291355.1974480533</v>
      </c>
      <c r="J26" s="276">
        <f t="shared" si="3"/>
        <v>262815.81128106924</v>
      </c>
      <c r="K26" s="276">
        <f t="shared" si="3"/>
        <v>134.79453863282413</v>
      </c>
      <c r="L26" s="276">
        <f t="shared" si="3"/>
        <v>27105.24430520291</v>
      </c>
      <c r="M26" s="276">
        <f t="shared" si="3"/>
        <v>1299.347323148211</v>
      </c>
      <c r="N26" s="326">
        <f t="shared" si="2"/>
        <v>0.7617675473879097</v>
      </c>
      <c r="O26" s="294"/>
      <c r="Q26" s="1"/>
    </row>
    <row r="27" spans="1:17" ht="18.75">
      <c r="A27" s="295"/>
      <c r="B27" s="296" t="s">
        <v>13</v>
      </c>
      <c r="C27" s="297" t="s">
        <v>15</v>
      </c>
      <c r="D27" s="280"/>
      <c r="E27" s="280"/>
      <c r="F27" s="280"/>
      <c r="G27" s="280"/>
      <c r="H27" s="280"/>
      <c r="I27" s="280"/>
      <c r="J27" s="280"/>
      <c r="K27" s="280"/>
      <c r="L27" s="280"/>
      <c r="M27" s="280"/>
      <c r="N27" s="326"/>
      <c r="O27" s="294"/>
      <c r="Q27" s="1"/>
    </row>
    <row r="28" spans="1:17" ht="18.75">
      <c r="A28" s="380">
        <v>2</v>
      </c>
      <c r="B28" s="293" t="s">
        <v>19</v>
      </c>
      <c r="C28" s="298" t="s">
        <v>15</v>
      </c>
      <c r="D28" s="276">
        <f aca="true" t="shared" si="4" ref="D28:M28">D30+D31</f>
        <v>4956.9</v>
      </c>
      <c r="E28" s="276">
        <f t="shared" si="4"/>
        <v>4529.454592833876</v>
      </c>
      <c r="F28" s="276">
        <f t="shared" si="4"/>
        <v>4</v>
      </c>
      <c r="G28" s="276">
        <f t="shared" si="4"/>
        <v>403</v>
      </c>
      <c r="H28" s="276">
        <f t="shared" si="4"/>
        <v>20</v>
      </c>
      <c r="I28" s="276">
        <f t="shared" si="4"/>
        <v>9014.40912986544</v>
      </c>
      <c r="J28" s="276">
        <f t="shared" si="4"/>
        <v>8131.41234285846</v>
      </c>
      <c r="K28" s="276">
        <f t="shared" si="4"/>
        <v>4.170487193468972</v>
      </c>
      <c r="L28" s="276">
        <f t="shared" si="4"/>
        <v>838.6250318243187</v>
      </c>
      <c r="M28" s="276">
        <f t="shared" si="4"/>
        <v>40.2012679891931</v>
      </c>
      <c r="N28" s="326">
        <f t="shared" si="2"/>
        <v>0.8185577941587365</v>
      </c>
      <c r="O28" s="294"/>
      <c r="Q28" s="1"/>
    </row>
    <row r="29" spans="1:17" ht="18.75">
      <c r="A29" s="380"/>
      <c r="B29" s="296" t="s">
        <v>13</v>
      </c>
      <c r="C29" s="297" t="s">
        <v>15</v>
      </c>
      <c r="D29" s="277"/>
      <c r="E29" s="279"/>
      <c r="F29" s="279"/>
      <c r="G29" s="279"/>
      <c r="H29" s="279"/>
      <c r="I29" s="277"/>
      <c r="J29" s="279"/>
      <c r="K29" s="279"/>
      <c r="L29" s="279"/>
      <c r="M29" s="279"/>
      <c r="N29" s="326"/>
      <c r="O29" s="294"/>
      <c r="Q29" s="1"/>
    </row>
    <row r="30" spans="1:17" ht="110.25">
      <c r="A30" s="295" t="s">
        <v>2</v>
      </c>
      <c r="B30" s="296" t="s">
        <v>20</v>
      </c>
      <c r="C30" s="297" t="s">
        <v>15</v>
      </c>
      <c r="D30" s="275">
        <v>4954</v>
      </c>
      <c r="E30" s="275">
        <f>'[7]Проект с коррет. 2021 '!$K$22</f>
        <v>4526.554592833876</v>
      </c>
      <c r="F30" s="275">
        <v>4</v>
      </c>
      <c r="G30" s="275">
        <v>403</v>
      </c>
      <c r="H30" s="275">
        <v>20</v>
      </c>
      <c r="I30" s="275">
        <f>'[10]исполнение тар.сметы-правда '!$DA$22</f>
        <v>8966.95302986544</v>
      </c>
      <c r="J30" s="275">
        <f>I30*J68/100</f>
        <v>8088.604754282803</v>
      </c>
      <c r="K30" s="275">
        <f>I30*K68/100</f>
        <v>4.148531782476335</v>
      </c>
      <c r="L30" s="275">
        <f>I30*L68/100</f>
        <v>834.2101142407686</v>
      </c>
      <c r="M30" s="275">
        <f>I30*M68/100</f>
        <v>39.989629559392824</v>
      </c>
      <c r="N30" s="326">
        <f t="shared" si="2"/>
        <v>0.8100430015876949</v>
      </c>
      <c r="O30" s="299" t="s">
        <v>270</v>
      </c>
      <c r="Q30" s="1"/>
    </row>
    <row r="31" spans="1:17" ht="31.5">
      <c r="A31" s="295" t="s">
        <v>3</v>
      </c>
      <c r="B31" s="296" t="s">
        <v>245</v>
      </c>
      <c r="C31" s="297" t="s">
        <v>15</v>
      </c>
      <c r="D31" s="275">
        <f>E31+F31+G31+H31</f>
        <v>2.9</v>
      </c>
      <c r="E31" s="275">
        <v>2.9</v>
      </c>
      <c r="F31" s="275">
        <v>0</v>
      </c>
      <c r="G31" s="275">
        <v>0</v>
      </c>
      <c r="H31" s="275">
        <v>0</v>
      </c>
      <c r="I31" s="275">
        <f>'[10]исполнение тар.сметы-правда '!$DA$23</f>
        <v>47.4561</v>
      </c>
      <c r="J31" s="275">
        <f>I31*J68/100</f>
        <v>42.80758857565693</v>
      </c>
      <c r="K31" s="275">
        <f>I31*K68/100</f>
        <v>0.02195541099263787</v>
      </c>
      <c r="L31" s="275">
        <f>I31*L68/100</f>
        <v>4.414917583550163</v>
      </c>
      <c r="M31" s="275">
        <f>I31*M68/100</f>
        <v>0.2116384298002707</v>
      </c>
      <c r="N31" s="326">
        <f t="shared" si="2"/>
        <v>15.364172413793103</v>
      </c>
      <c r="O31" s="296" t="s">
        <v>269</v>
      </c>
      <c r="Q31" s="1"/>
    </row>
    <row r="32" spans="1:17" ht="15.75">
      <c r="A32" s="380">
        <v>3</v>
      </c>
      <c r="B32" s="293" t="s">
        <v>21</v>
      </c>
      <c r="C32" s="297" t="s">
        <v>15</v>
      </c>
      <c r="D32" s="276">
        <f aca="true" t="shared" si="5" ref="D32:M32">D34+D35+D36</f>
        <v>119047.23999999999</v>
      </c>
      <c r="E32" s="276">
        <f>E34+E35+E36-1</f>
        <v>108790.53999999998</v>
      </c>
      <c r="F32" s="276">
        <f t="shared" si="5"/>
        <v>94.9</v>
      </c>
      <c r="G32" s="276">
        <f t="shared" si="5"/>
        <v>9680.9</v>
      </c>
      <c r="H32" s="276">
        <f t="shared" si="5"/>
        <v>479.9</v>
      </c>
      <c r="I32" s="276">
        <f t="shared" si="5"/>
        <v>220597.396167895</v>
      </c>
      <c r="J32" s="276">
        <f t="shared" si="5"/>
        <v>198989.01460542367</v>
      </c>
      <c r="K32" s="276">
        <f t="shared" si="5"/>
        <v>102.05867099849952</v>
      </c>
      <c r="L32" s="276">
        <f t="shared" si="5"/>
        <v>20522.531839468917</v>
      </c>
      <c r="M32" s="276">
        <f t="shared" si="5"/>
        <v>983.7910520038846</v>
      </c>
      <c r="N32" s="326">
        <f t="shared" si="2"/>
        <v>0.8530240278388228</v>
      </c>
      <c r="O32" s="370" t="s">
        <v>271</v>
      </c>
      <c r="Q32" s="1"/>
    </row>
    <row r="33" spans="1:17" ht="14.25" customHeight="1">
      <c r="A33" s="380"/>
      <c r="B33" s="296" t="s">
        <v>13</v>
      </c>
      <c r="C33" s="297"/>
      <c r="D33" s="277"/>
      <c r="E33" s="279"/>
      <c r="F33" s="279"/>
      <c r="G33" s="279"/>
      <c r="H33" s="279"/>
      <c r="I33" s="277"/>
      <c r="J33" s="279"/>
      <c r="K33" s="279"/>
      <c r="L33" s="279"/>
      <c r="M33" s="279"/>
      <c r="N33" s="326"/>
      <c r="O33" s="371"/>
      <c r="Q33" s="1"/>
    </row>
    <row r="34" spans="1:17" ht="105" customHeight="1">
      <c r="A34" s="295" t="s">
        <v>22</v>
      </c>
      <c r="B34" s="296" t="s">
        <v>23</v>
      </c>
      <c r="C34" s="297" t="s">
        <v>15</v>
      </c>
      <c r="D34" s="275">
        <f>E34+F34+G34+H34</f>
        <v>107686.18</v>
      </c>
      <c r="E34" s="275">
        <f>'[7]Проект с коррет. 2021 '!$K$26</f>
        <v>98409.18</v>
      </c>
      <c r="F34" s="275">
        <v>86</v>
      </c>
      <c r="G34" s="275">
        <v>8757</v>
      </c>
      <c r="H34" s="275">
        <v>434</v>
      </c>
      <c r="I34" s="278">
        <f>'[10]исполнение тар.сметы-правда '!$DA$26</f>
        <v>201226.6958518059</v>
      </c>
      <c r="J34" s="275">
        <f>I34*J68/100</f>
        <v>181515.75048229747</v>
      </c>
      <c r="K34" s="275">
        <f>I34*K68/100</f>
        <v>93.09687922347047</v>
      </c>
      <c r="L34" s="275">
        <f>I34*L68/100</f>
        <v>18720.444322138534</v>
      </c>
      <c r="M34" s="275">
        <f>I34*M68/100</f>
        <v>897.4041681464099</v>
      </c>
      <c r="N34" s="326">
        <f t="shared" si="2"/>
        <v>0.8686399299502121</v>
      </c>
      <c r="O34" s="371"/>
      <c r="Q34" s="1"/>
    </row>
    <row r="35" spans="1:17" ht="15.75" customHeight="1">
      <c r="A35" s="295" t="s">
        <v>24</v>
      </c>
      <c r="B35" s="296" t="s">
        <v>224</v>
      </c>
      <c r="C35" s="297" t="s">
        <v>15</v>
      </c>
      <c r="D35" s="275">
        <f>E35+F35+G35+H35</f>
        <v>9206.88</v>
      </c>
      <c r="E35" s="275">
        <f>'[7]Проект с коррет. 2021 '!$K$27</f>
        <v>8414.18</v>
      </c>
      <c r="F35" s="275">
        <v>6.9</v>
      </c>
      <c r="G35" s="275">
        <v>748.9</v>
      </c>
      <c r="H35" s="275">
        <v>36.9</v>
      </c>
      <c r="I35" s="275">
        <f>'[10]исполнение тар.сметы-правда '!$DA$27</f>
        <v>15273.291696689088</v>
      </c>
      <c r="J35" s="275">
        <f>I35*J68/100</f>
        <v>13777.21277449819</v>
      </c>
      <c r="K35" s="275">
        <f>I35*K68/100</f>
        <v>7.0661389454938845</v>
      </c>
      <c r="L35" s="275">
        <f>I35*L68/100</f>
        <v>1420.898979697096</v>
      </c>
      <c r="M35" s="275">
        <f>I35*M68/100</f>
        <v>68.11380354830656</v>
      </c>
      <c r="N35" s="326">
        <f t="shared" si="2"/>
        <v>0.6588998332430844</v>
      </c>
      <c r="O35" s="371"/>
      <c r="Q35" s="1"/>
    </row>
    <row r="36" spans="1:15" s="216" customFormat="1" ht="15.75" customHeight="1">
      <c r="A36" s="295" t="s">
        <v>115</v>
      </c>
      <c r="B36" s="296" t="s">
        <v>246</v>
      </c>
      <c r="C36" s="301" t="s">
        <v>15</v>
      </c>
      <c r="D36" s="275">
        <f>E36+F36+G36+H36</f>
        <v>2154.1800000000003</v>
      </c>
      <c r="E36" s="275">
        <f>'[7]Проект с коррет. 2021 '!$K$28</f>
        <v>1968.18</v>
      </c>
      <c r="F36" s="275">
        <v>2</v>
      </c>
      <c r="G36" s="275">
        <v>175</v>
      </c>
      <c r="H36" s="275">
        <v>9</v>
      </c>
      <c r="I36" s="275">
        <f>'[10]исполнение тар.сметы-правда '!$DA$28</f>
        <v>4097.4086194</v>
      </c>
      <c r="J36" s="275">
        <f>I36*J68/100</f>
        <v>3696.051348628009</v>
      </c>
      <c r="K36" s="275">
        <f>I36*K68/100</f>
        <v>1.895652829535169</v>
      </c>
      <c r="L36" s="275">
        <f>I36*L68/100</f>
        <v>381.1885376332876</v>
      </c>
      <c r="M36" s="275">
        <f>I36*M68/100</f>
        <v>18.273080309168073</v>
      </c>
      <c r="N36" s="326">
        <f t="shared" si="2"/>
        <v>0.9020734661913117</v>
      </c>
      <c r="O36" s="372"/>
    </row>
    <row r="37" spans="1:17" ht="157.5">
      <c r="A37" s="291">
        <v>4</v>
      </c>
      <c r="B37" s="293" t="s">
        <v>25</v>
      </c>
      <c r="C37" s="297" t="s">
        <v>15</v>
      </c>
      <c r="D37" s="276">
        <f>E37+F37+G37+H37</f>
        <v>6822</v>
      </c>
      <c r="E37" s="276">
        <v>6234</v>
      </c>
      <c r="F37" s="276">
        <v>6</v>
      </c>
      <c r="G37" s="276">
        <v>555</v>
      </c>
      <c r="H37" s="276">
        <v>27</v>
      </c>
      <c r="I37" s="276">
        <f>'[10]исполнение тар.сметы-правда '!$DA$29</f>
        <v>11996.248023126807</v>
      </c>
      <c r="J37" s="276">
        <f>I37*J68/100</f>
        <v>10821.168402493042</v>
      </c>
      <c r="K37" s="276">
        <f>I37*K68/100</f>
        <v>5.550025301644438</v>
      </c>
      <c r="L37" s="276">
        <f>I37*L68/100</f>
        <v>1116.0303171548321</v>
      </c>
      <c r="M37" s="276">
        <f>I37*M68/100</f>
        <v>53.499278177287195</v>
      </c>
      <c r="N37" s="326">
        <f t="shared" si="2"/>
        <v>0.7584649696755801</v>
      </c>
      <c r="O37" s="299" t="s">
        <v>272</v>
      </c>
      <c r="Q37" s="1"/>
    </row>
    <row r="38" spans="1:17" ht="18.75">
      <c r="A38" s="380">
        <v>5</v>
      </c>
      <c r="B38" s="293" t="s">
        <v>5</v>
      </c>
      <c r="C38" s="298" t="s">
        <v>15</v>
      </c>
      <c r="D38" s="276">
        <f>D40+D41</f>
        <v>8322</v>
      </c>
      <c r="E38" s="276">
        <f>E40+E41</f>
        <v>7606</v>
      </c>
      <c r="F38" s="276">
        <f>F40+F41</f>
        <v>6</v>
      </c>
      <c r="G38" s="276">
        <f>G40+G41</f>
        <v>677</v>
      </c>
      <c r="H38" s="276">
        <f>H40+H41</f>
        <v>33</v>
      </c>
      <c r="I38" s="276">
        <f>SUM(J38:M38)</f>
        <v>13413.538095300002</v>
      </c>
      <c r="J38" s="276">
        <f>J40+J41</f>
        <v>12099.629344330937</v>
      </c>
      <c r="K38" s="276">
        <f>K40+K41</f>
        <v>6.205729964066084</v>
      </c>
      <c r="L38" s="276">
        <f>L40+L41</f>
        <v>1247.8831002665606</v>
      </c>
      <c r="M38" s="276">
        <f>M40+M41</f>
        <v>59.81992073843839</v>
      </c>
      <c r="N38" s="326">
        <f t="shared" si="2"/>
        <v>0.6118166420692144</v>
      </c>
      <c r="O38" s="294"/>
      <c r="Q38" s="1"/>
    </row>
    <row r="39" spans="1:17" ht="14.25" customHeight="1">
      <c r="A39" s="380"/>
      <c r="B39" s="296" t="s">
        <v>13</v>
      </c>
      <c r="C39" s="297" t="s">
        <v>15</v>
      </c>
      <c r="D39" s="275"/>
      <c r="E39" s="275"/>
      <c r="F39" s="275"/>
      <c r="G39" s="275"/>
      <c r="H39" s="275"/>
      <c r="I39" s="275"/>
      <c r="J39" s="275"/>
      <c r="K39" s="275"/>
      <c r="L39" s="275"/>
      <c r="M39" s="275"/>
      <c r="N39" s="326"/>
      <c r="O39" s="294"/>
      <c r="Q39" s="1"/>
    </row>
    <row r="40" spans="1:17" ht="63">
      <c r="A40" s="295" t="s">
        <v>26</v>
      </c>
      <c r="B40" s="296" t="s">
        <v>27</v>
      </c>
      <c r="C40" s="297" t="s">
        <v>15</v>
      </c>
      <c r="D40" s="275">
        <f>E40+F40+G40+H40</f>
        <v>7979</v>
      </c>
      <c r="E40" s="275">
        <v>7292</v>
      </c>
      <c r="F40" s="275">
        <v>6</v>
      </c>
      <c r="G40" s="275">
        <v>649</v>
      </c>
      <c r="H40" s="275">
        <v>32</v>
      </c>
      <c r="I40" s="275">
        <f>'[13]12 мес.21г'!$D$275+'[13]12 мес.21г'!$E$275</f>
        <v>12088.339103700002</v>
      </c>
      <c r="J40" s="275">
        <f>I40*J68/100</f>
        <v>10904.23879994806</v>
      </c>
      <c r="K40" s="275">
        <f>I40*K68/100</f>
        <v>5.592630941862252</v>
      </c>
      <c r="L40" s="275">
        <f>I40*L68/100</f>
        <v>1124.597699027989</v>
      </c>
      <c r="M40" s="275">
        <f>I40*M68/100</f>
        <v>53.909973782090816</v>
      </c>
      <c r="N40" s="326">
        <f t="shared" si="2"/>
        <v>0.5150193136608601</v>
      </c>
      <c r="O40" s="302" t="s">
        <v>273</v>
      </c>
      <c r="Q40" s="1"/>
    </row>
    <row r="41" spans="1:17" ht="98.25" customHeight="1" outlineLevel="1">
      <c r="A41" s="295" t="s">
        <v>63</v>
      </c>
      <c r="B41" s="296" t="s">
        <v>102</v>
      </c>
      <c r="C41" s="297" t="s">
        <v>15</v>
      </c>
      <c r="D41" s="275">
        <f>E41+F41+G41+H41</f>
        <v>343</v>
      </c>
      <c r="E41" s="275">
        <v>314</v>
      </c>
      <c r="F41" s="275">
        <v>0</v>
      </c>
      <c r="G41" s="275">
        <v>28</v>
      </c>
      <c r="H41" s="275">
        <v>1</v>
      </c>
      <c r="I41" s="275">
        <f>'[13]12 мес.21г'!$E$289+'[13]12 мес.21г'!$E$290+'[13]12 мес.21г'!$E$291+'[13]12 мес.21г'!$E$294+'[13]12 мес.21г'!$E$295</f>
        <v>1325.1989916</v>
      </c>
      <c r="J41" s="275">
        <f>I41*J68/100</f>
        <v>1195.390544382877</v>
      </c>
      <c r="K41" s="275">
        <f>I41*K68/100</f>
        <v>0.6130990222038318</v>
      </c>
      <c r="L41" s="275">
        <f>I41*L68/100</f>
        <v>123.28540123857174</v>
      </c>
      <c r="M41" s="275">
        <f>I41*M68/100</f>
        <v>5.909946956347575</v>
      </c>
      <c r="N41" s="326">
        <f t="shared" si="2"/>
        <v>2.8635539113702624</v>
      </c>
      <c r="O41" s="302" t="s">
        <v>256</v>
      </c>
      <c r="Q41" s="1"/>
    </row>
    <row r="42" spans="1:17" ht="24" customHeight="1">
      <c r="A42" s="380">
        <v>6</v>
      </c>
      <c r="B42" s="303" t="s">
        <v>28</v>
      </c>
      <c r="C42" s="298" t="s">
        <v>15</v>
      </c>
      <c r="D42" s="276">
        <f aca="true" t="shared" si="6" ref="D42:M42">D44+D45+D46+D47+D48+D49+D54+D55+D56+D57+D58+D59+D60</f>
        <v>26228.5</v>
      </c>
      <c r="E42" s="276">
        <f t="shared" si="6"/>
        <v>23969.2334801988</v>
      </c>
      <c r="F42" s="276">
        <f t="shared" si="6"/>
        <v>20.125672093903823</v>
      </c>
      <c r="G42" s="276">
        <f t="shared" si="6"/>
        <v>2133.142058801534</v>
      </c>
      <c r="H42" s="276">
        <f t="shared" si="6"/>
        <v>105.94424345121871</v>
      </c>
      <c r="I42" s="276">
        <f t="shared" si="6"/>
        <v>36333.606031865995</v>
      </c>
      <c r="J42" s="276">
        <f t="shared" si="6"/>
        <v>32774.58658596316</v>
      </c>
      <c r="K42" s="276">
        <f t="shared" si="6"/>
        <v>16.809625175145122</v>
      </c>
      <c r="L42" s="276">
        <f t="shared" si="6"/>
        <v>3380.17401648828</v>
      </c>
      <c r="M42" s="276">
        <f t="shared" si="6"/>
        <v>162.03580423940787</v>
      </c>
      <c r="N42" s="326">
        <f t="shared" si="2"/>
        <v>0.38527197635648225</v>
      </c>
      <c r="O42" s="294"/>
      <c r="Q42" s="1"/>
    </row>
    <row r="43" spans="1:17" ht="14.25" customHeight="1">
      <c r="A43" s="380"/>
      <c r="B43" s="296" t="s">
        <v>13</v>
      </c>
      <c r="C43" s="297" t="s">
        <v>15</v>
      </c>
      <c r="D43" s="281"/>
      <c r="E43" s="281"/>
      <c r="F43" s="281"/>
      <c r="G43" s="281"/>
      <c r="H43" s="281"/>
      <c r="I43" s="281"/>
      <c r="J43" s="281"/>
      <c r="K43" s="281"/>
      <c r="L43" s="281"/>
      <c r="M43" s="281"/>
      <c r="N43" s="326"/>
      <c r="O43" s="294"/>
      <c r="Q43" s="1"/>
    </row>
    <row r="44" spans="1:17" ht="31.5">
      <c r="A44" s="295" t="s">
        <v>29</v>
      </c>
      <c r="B44" s="296" t="s">
        <v>7</v>
      </c>
      <c r="C44" s="297" t="s">
        <v>15</v>
      </c>
      <c r="D44" s="275">
        <v>15</v>
      </c>
      <c r="E44" s="275">
        <f>'[7]Проект с коррет. 2021 '!$K$36</f>
        <v>13.745454545454546</v>
      </c>
      <c r="F44" s="275">
        <f>D44*Y44</f>
        <v>0</v>
      </c>
      <c r="G44" s="275">
        <f>'[7]Проект с коррет. 2021 '!$M$36</f>
        <v>1.2</v>
      </c>
      <c r="H44" s="275">
        <f>D44*AA44</f>
        <v>0</v>
      </c>
      <c r="I44" s="275">
        <f>'[10]исполнение тар.сметы-правда '!$DA$36</f>
        <v>44.1838803</v>
      </c>
      <c r="J44" s="275">
        <f>I44*J68/100</f>
        <v>39.85589565005285</v>
      </c>
      <c r="K44" s="275">
        <f>I44*K68/100</f>
        <v>0.020441529144536022</v>
      </c>
      <c r="L44" s="275">
        <f>I44*L68/100</f>
        <v>4.110497703054942</v>
      </c>
      <c r="M44" s="275">
        <f>I44*M68/100</f>
        <v>0.19704541774766812</v>
      </c>
      <c r="N44" s="326">
        <f t="shared" si="2"/>
        <v>1.9455920199999999</v>
      </c>
      <c r="O44" s="302" t="s">
        <v>250</v>
      </c>
      <c r="Q44" s="1"/>
    </row>
    <row r="45" spans="1:17" ht="33.75" customHeight="1">
      <c r="A45" s="295" t="s">
        <v>30</v>
      </c>
      <c r="B45" s="296" t="s">
        <v>31</v>
      </c>
      <c r="C45" s="297" t="s">
        <v>15</v>
      </c>
      <c r="D45" s="275">
        <f>E45+F45+G45+H45</f>
        <v>1909.8000000000002</v>
      </c>
      <c r="E45" s="275">
        <v>1744.9</v>
      </c>
      <c r="F45" s="275">
        <v>1.9</v>
      </c>
      <c r="G45" s="275">
        <v>155</v>
      </c>
      <c r="H45" s="275">
        <v>8</v>
      </c>
      <c r="I45" s="275">
        <f>'[10]исполнение тар.сметы-правда '!$DA$37</f>
        <v>2860.288684434</v>
      </c>
      <c r="J45" s="275">
        <f>I45*J68/100</f>
        <v>2580.1121712668696</v>
      </c>
      <c r="K45" s="275">
        <f>I45*K68/100</f>
        <v>1.3233032976654204</v>
      </c>
      <c r="L45" s="275">
        <f>I45*L68/100</f>
        <v>266.0972732048615</v>
      </c>
      <c r="M45" s="275">
        <f>I45*M68/100</f>
        <v>12.755936664603576</v>
      </c>
      <c r="N45" s="326">
        <f t="shared" si="2"/>
        <v>0.49769016883129114</v>
      </c>
      <c r="O45" s="304" t="s">
        <v>248</v>
      </c>
      <c r="Q45" s="1"/>
    </row>
    <row r="46" spans="1:17" ht="63">
      <c r="A46" s="295" t="s">
        <v>32</v>
      </c>
      <c r="B46" s="296" t="s">
        <v>33</v>
      </c>
      <c r="C46" s="297" t="s">
        <v>15</v>
      </c>
      <c r="D46" s="275">
        <f>E46+F46+G46+H46</f>
        <v>1412.9</v>
      </c>
      <c r="E46" s="275">
        <v>1290.9</v>
      </c>
      <c r="F46" s="275">
        <v>1</v>
      </c>
      <c r="G46" s="275">
        <v>115</v>
      </c>
      <c r="H46" s="275">
        <v>6</v>
      </c>
      <c r="I46" s="275">
        <f>'[10]исполнение тар.сметы-правда '!$DA$38</f>
        <v>2156.352276789</v>
      </c>
      <c r="J46" s="275">
        <f>I46*J68/100</f>
        <v>1945.1291001360119</v>
      </c>
      <c r="K46" s="275">
        <f>I46*K68/100</f>
        <v>0.9976293981556198</v>
      </c>
      <c r="L46" s="275">
        <f>I46*L68/100</f>
        <v>200.60893295328069</v>
      </c>
      <c r="M46" s="275">
        <f>I46*M68/100</f>
        <v>9.616614301551595</v>
      </c>
      <c r="N46" s="326">
        <f t="shared" si="2"/>
        <v>0.5261888858298533</v>
      </c>
      <c r="O46" s="300" t="s">
        <v>251</v>
      </c>
      <c r="Q46" s="1"/>
    </row>
    <row r="47" spans="1:17" ht="63">
      <c r="A47" s="305" t="s">
        <v>34</v>
      </c>
      <c r="B47" s="296" t="s">
        <v>8</v>
      </c>
      <c r="C47" s="297" t="s">
        <v>15</v>
      </c>
      <c r="D47" s="275">
        <f>E47+F47+G47+H47</f>
        <v>5172.9</v>
      </c>
      <c r="E47" s="275">
        <v>4726.9</v>
      </c>
      <c r="F47" s="275">
        <v>4</v>
      </c>
      <c r="G47" s="275">
        <v>421</v>
      </c>
      <c r="H47" s="275">
        <v>21</v>
      </c>
      <c r="I47" s="275">
        <f>'[10]исполнение тар.сметы-правда '!$DA$39</f>
        <v>8266.493236133</v>
      </c>
      <c r="J47" s="275">
        <f>I47*J68/100</f>
        <v>7456.757749074033</v>
      </c>
      <c r="K47" s="275">
        <f>I47*K68/100</f>
        <v>3.824466327135206</v>
      </c>
      <c r="L47" s="275">
        <f>I47*L68/100</f>
        <v>769.0452089931972</v>
      </c>
      <c r="M47" s="275">
        <f>I47*M68/100</f>
        <v>36.8658117386331</v>
      </c>
      <c r="N47" s="326">
        <f t="shared" si="2"/>
        <v>0.5980384767022366</v>
      </c>
      <c r="O47" s="296" t="s">
        <v>249</v>
      </c>
      <c r="Q47" s="1"/>
    </row>
    <row r="48" spans="1:17" ht="63">
      <c r="A48" s="295" t="s">
        <v>35</v>
      </c>
      <c r="B48" s="296" t="s">
        <v>9</v>
      </c>
      <c r="C48" s="297" t="s">
        <v>15</v>
      </c>
      <c r="D48" s="275">
        <f>E48+F48+G48+H48</f>
        <v>4695.9</v>
      </c>
      <c r="E48" s="275">
        <v>4290.9</v>
      </c>
      <c r="F48" s="275">
        <v>4</v>
      </c>
      <c r="G48" s="275">
        <v>382</v>
      </c>
      <c r="H48" s="275">
        <v>19</v>
      </c>
      <c r="I48" s="275">
        <f>'[10]исполнение тар.сметы-правда '!$DA$40</f>
        <v>6705.947277179999</v>
      </c>
      <c r="J48" s="275">
        <f>I48*J68/100</f>
        <v>6049.073397341295</v>
      </c>
      <c r="K48" s="275">
        <f>I48*K68/100</f>
        <v>3.1024847925861536</v>
      </c>
      <c r="L48" s="275">
        <f>I48*L68/100</f>
        <v>623.8650995000077</v>
      </c>
      <c r="M48" s="275">
        <f>I48*M68/100</f>
        <v>29.906295546110524</v>
      </c>
      <c r="N48" s="326">
        <f t="shared" si="2"/>
        <v>0.4280430326838305</v>
      </c>
      <c r="O48" s="296" t="s">
        <v>252</v>
      </c>
      <c r="P48" s="6"/>
      <c r="Q48" s="6"/>
    </row>
    <row r="49" spans="1:17" ht="18.75" customHeight="1">
      <c r="A49" s="381" t="s">
        <v>36</v>
      </c>
      <c r="B49" s="296" t="s">
        <v>37</v>
      </c>
      <c r="C49" s="297" t="s">
        <v>15</v>
      </c>
      <c r="D49" s="275">
        <f>E49+F49+G49+H49</f>
        <v>621</v>
      </c>
      <c r="E49" s="275">
        <v>569</v>
      </c>
      <c r="F49" s="275">
        <v>0</v>
      </c>
      <c r="G49" s="275">
        <v>50</v>
      </c>
      <c r="H49" s="275">
        <v>2</v>
      </c>
      <c r="I49" s="275">
        <f>I51+I52+I53</f>
        <v>810.6135884</v>
      </c>
      <c r="J49" s="275">
        <f>J51+J52+J53</f>
        <v>731.2108029539745</v>
      </c>
      <c r="K49" s="275">
        <f>K51+K52+K53</f>
        <v>0.3750277517440116</v>
      </c>
      <c r="L49" s="275">
        <f>L51+L52+L53</f>
        <v>75.41269056858557</v>
      </c>
      <c r="M49" s="275">
        <f>M51+M52+M53</f>
        <v>3.6150671256959366</v>
      </c>
      <c r="N49" s="326">
        <f t="shared" si="2"/>
        <v>0.3053358911433173</v>
      </c>
      <c r="O49" s="300"/>
      <c r="Q49" s="1"/>
    </row>
    <row r="50" spans="1:17" ht="15" customHeight="1">
      <c r="A50" s="381"/>
      <c r="B50" s="296" t="s">
        <v>13</v>
      </c>
      <c r="C50" s="297" t="s">
        <v>15</v>
      </c>
      <c r="D50" s="277"/>
      <c r="E50" s="277"/>
      <c r="F50" s="277"/>
      <c r="G50" s="277"/>
      <c r="H50" s="277"/>
      <c r="I50" s="277"/>
      <c r="J50" s="277"/>
      <c r="K50" s="277"/>
      <c r="L50" s="277"/>
      <c r="M50" s="277"/>
      <c r="N50" s="326"/>
      <c r="O50" s="306"/>
      <c r="Q50" s="1"/>
    </row>
    <row r="51" spans="1:17" ht="15.75">
      <c r="A51" s="381"/>
      <c r="B51" s="307" t="s">
        <v>238</v>
      </c>
      <c r="C51" s="297" t="s">
        <v>15</v>
      </c>
      <c r="D51" s="275">
        <f>E51+F51+G51+H51</f>
        <v>9.9</v>
      </c>
      <c r="E51" s="275">
        <v>8.9</v>
      </c>
      <c r="F51" s="275">
        <v>0</v>
      </c>
      <c r="G51" s="275">
        <v>1</v>
      </c>
      <c r="H51" s="275">
        <v>0</v>
      </c>
      <c r="I51" s="275">
        <f>'[10]исполнение тар.сметы-правда '!$DA$43</f>
        <v>9.79067</v>
      </c>
      <c r="J51" s="275">
        <f>I51*J68/100</f>
        <v>8.83163541125434</v>
      </c>
      <c r="K51" s="275">
        <f>I51*K68/100</f>
        <v>0.004529621771348464</v>
      </c>
      <c r="L51" s="275">
        <f>I51*L68/100</f>
        <v>0.910841833562747</v>
      </c>
      <c r="M51" s="275">
        <f>I51*M68/100</f>
        <v>0.04366313341156598</v>
      </c>
      <c r="N51" s="326">
        <f t="shared" si="2"/>
        <v>-0.011043434343434355</v>
      </c>
      <c r="O51" s="296" t="s">
        <v>226</v>
      </c>
      <c r="Q51" s="1"/>
    </row>
    <row r="52" spans="1:17" ht="51.75" customHeight="1">
      <c r="A52" s="381"/>
      <c r="B52" s="307" t="s">
        <v>10</v>
      </c>
      <c r="C52" s="297" t="s">
        <v>15</v>
      </c>
      <c r="D52" s="275">
        <f>E52+F52+G52+H52</f>
        <v>90.9</v>
      </c>
      <c r="E52" s="275">
        <v>83.9</v>
      </c>
      <c r="F52" s="275">
        <v>0</v>
      </c>
      <c r="G52" s="275">
        <v>7</v>
      </c>
      <c r="H52" s="275">
        <v>0</v>
      </c>
      <c r="I52" s="275">
        <f>'[10]исполнение тар.сметы-правда '!$DA$44</f>
        <v>145.18384980000002</v>
      </c>
      <c r="J52" s="275">
        <f>I52*J68/100</f>
        <v>130.96252136328886</v>
      </c>
      <c r="K52" s="275">
        <f>I52*K68/100</f>
        <v>0.06716883797556912</v>
      </c>
      <c r="L52" s="275">
        <f>I52*L68/100</f>
        <v>13.506687893221859</v>
      </c>
      <c r="M52" s="275">
        <f>I52*M68/100</f>
        <v>0.6474717055137347</v>
      </c>
      <c r="N52" s="326">
        <f t="shared" si="2"/>
        <v>0.5971820660066007</v>
      </c>
      <c r="O52" s="308" t="s">
        <v>225</v>
      </c>
      <c r="Q52" s="1"/>
    </row>
    <row r="53" spans="1:17" ht="51" customHeight="1">
      <c r="A53" s="381"/>
      <c r="B53" s="307" t="s">
        <v>38</v>
      </c>
      <c r="C53" s="297" t="s">
        <v>15</v>
      </c>
      <c r="D53" s="275">
        <f>E53+F53+G53+H53</f>
        <v>519.9</v>
      </c>
      <c r="E53" s="275">
        <v>475.9</v>
      </c>
      <c r="F53" s="275">
        <v>0</v>
      </c>
      <c r="G53" s="275">
        <v>42</v>
      </c>
      <c r="H53" s="275">
        <v>2</v>
      </c>
      <c r="I53" s="275">
        <f>'[10]исполнение тар.сметы-правда '!$DA$45</f>
        <v>655.6390686</v>
      </c>
      <c r="J53" s="275">
        <f>I53*J68/100</f>
        <v>591.4166461794313</v>
      </c>
      <c r="K53" s="275">
        <f>I53*K68/100</f>
        <v>0.303329291997094</v>
      </c>
      <c r="L53" s="275">
        <f>I53*L68/100</f>
        <v>60.995160841800974</v>
      </c>
      <c r="M53" s="275">
        <f>I53*M68/100</f>
        <v>2.923932286770636</v>
      </c>
      <c r="N53" s="326">
        <f t="shared" si="2"/>
        <v>0.2610868793998846</v>
      </c>
      <c r="O53" s="288" t="s">
        <v>253</v>
      </c>
      <c r="Q53" s="1"/>
    </row>
    <row r="54" spans="1:17" ht="31.5">
      <c r="A54" s="295" t="s">
        <v>39</v>
      </c>
      <c r="B54" s="296" t="s">
        <v>40</v>
      </c>
      <c r="C54" s="297" t="s">
        <v>15</v>
      </c>
      <c r="D54" s="275">
        <v>11075</v>
      </c>
      <c r="E54" s="275">
        <f>'[7]Проект с коррет. 2021 '!$K$46</f>
        <v>10120.562287012495</v>
      </c>
      <c r="F54" s="275">
        <f>'[7]Проект с коррет. 2021 '!$L$46</f>
        <v>9.225672093903825</v>
      </c>
      <c r="G54" s="275">
        <f>'[7]Проект с коррет. 2021 '!$M$46</f>
        <v>900.7610753502461</v>
      </c>
      <c r="H54" s="275">
        <f>'[7]Проект с коррет. 2021 '!$N$46</f>
        <v>44.45096554335479</v>
      </c>
      <c r="I54" s="275">
        <f>'[10]исполнение тар.сметы-правда '!$DA$46</f>
        <v>11706.2878016</v>
      </c>
      <c r="J54" s="275">
        <f>I54*J68/100</f>
        <v>10559.610923761627</v>
      </c>
      <c r="K54" s="275">
        <f>I54*K68/100</f>
        <v>5.415876144104367</v>
      </c>
      <c r="L54" s="275">
        <f>I54*L68/100</f>
        <v>1089.054849711262</v>
      </c>
      <c r="M54" s="275">
        <f>I54*M68/100</f>
        <v>52.206151983005064</v>
      </c>
      <c r="N54" s="326">
        <f t="shared" si="2"/>
        <v>0.057001155900677114</v>
      </c>
      <c r="O54" s="296" t="s">
        <v>277</v>
      </c>
      <c r="Q54" s="1"/>
    </row>
    <row r="55" spans="1:17" ht="49.5" customHeight="1">
      <c r="A55" s="295" t="s">
        <v>41</v>
      </c>
      <c r="B55" s="296" t="s">
        <v>42</v>
      </c>
      <c r="C55" s="297" t="s">
        <v>15</v>
      </c>
      <c r="D55" s="275">
        <v>362</v>
      </c>
      <c r="E55" s="275">
        <f>'[7]Проект с коррет. 2021 '!$K$47</f>
        <v>330.7277486910995</v>
      </c>
      <c r="F55" s="275">
        <f>D55*Y55</f>
        <v>0</v>
      </c>
      <c r="G55" s="275">
        <f>'[7]Проект с коррет. 2021 '!$M$47</f>
        <v>29.376963350785342</v>
      </c>
      <c r="H55" s="275">
        <f>'[7]Проект с коррет. 2021 '!$N$47</f>
        <v>1.8952879581151834</v>
      </c>
      <c r="I55" s="275">
        <f>'[10]исполнение тар.сметы-правда '!$DA$47</f>
        <v>413.88866599999994</v>
      </c>
      <c r="J55" s="275">
        <f>I55*J68/100</f>
        <v>373.34664522064566</v>
      </c>
      <c r="K55" s="275">
        <f>I55*K68/100</f>
        <v>0.19148425107045508</v>
      </c>
      <c r="L55" s="275">
        <f>I55*L68/100</f>
        <v>38.504730670146095</v>
      </c>
      <c r="M55" s="275">
        <f>I55*M68/100</f>
        <v>1.8458058581377035</v>
      </c>
      <c r="N55" s="326">
        <f t="shared" si="2"/>
        <v>0.14333885635359112</v>
      </c>
      <c r="O55" s="309" t="s">
        <v>254</v>
      </c>
      <c r="Q55" s="1"/>
    </row>
    <row r="56" spans="1:17" ht="97.5" customHeight="1">
      <c r="A56" s="295" t="s">
        <v>62</v>
      </c>
      <c r="B56" s="296" t="s">
        <v>43</v>
      </c>
      <c r="C56" s="297" t="s">
        <v>15</v>
      </c>
      <c r="D56" s="275">
        <v>9</v>
      </c>
      <c r="E56" s="275">
        <f>'[7]Проект с коррет. 2021 '!$K$48</f>
        <v>8</v>
      </c>
      <c r="F56" s="275">
        <f>D56*Y56</f>
        <v>0</v>
      </c>
      <c r="G56" s="275">
        <f>'[7]Проект с коррет. 2021 '!$M$48</f>
        <v>1</v>
      </c>
      <c r="H56" s="275">
        <f>D56*AA56</f>
        <v>0</v>
      </c>
      <c r="I56" s="275">
        <f>'[10]исполнение тар.сметы-правда '!$DA$48</f>
        <v>1286.5192661</v>
      </c>
      <c r="J56" s="275">
        <f>I56*J68/100</f>
        <v>1160.4996499473175</v>
      </c>
      <c r="K56" s="275">
        <f>I56*K68/100</f>
        <v>0.5952039724539595</v>
      </c>
      <c r="L56" s="275">
        <f>I56*L68/100</f>
        <v>119.68696394100951</v>
      </c>
      <c r="M56" s="275">
        <f>I56*M68/100</f>
        <v>5.737448239218997</v>
      </c>
      <c r="N56" s="326">
        <f t="shared" si="2"/>
        <v>141.94658512222225</v>
      </c>
      <c r="O56" s="304" t="s">
        <v>255</v>
      </c>
      <c r="Q56" s="1"/>
    </row>
    <row r="57" spans="1:17" ht="84" customHeight="1">
      <c r="A57" s="295" t="s">
        <v>44</v>
      </c>
      <c r="B57" s="296" t="s">
        <v>59</v>
      </c>
      <c r="C57" s="297" t="s">
        <v>15</v>
      </c>
      <c r="D57" s="275">
        <f>E57+F57+G57+H57</f>
        <v>61</v>
      </c>
      <c r="E57" s="278">
        <v>56</v>
      </c>
      <c r="F57" s="278">
        <v>0</v>
      </c>
      <c r="G57" s="278">
        <v>5</v>
      </c>
      <c r="H57" s="278">
        <v>0</v>
      </c>
      <c r="I57" s="275">
        <f>'[10]исполнение тар.сметы-правда '!$DA$49</f>
        <v>230.5003304</v>
      </c>
      <c r="J57" s="275">
        <f>I57*J68/100</f>
        <v>207.9219175262229</v>
      </c>
      <c r="K57" s="275">
        <f>I57*K68/100</f>
        <v>0.10664023145329728</v>
      </c>
      <c r="L57" s="275">
        <f>I57*L68/100</f>
        <v>21.443817795754015</v>
      </c>
      <c r="M57" s="275">
        <f>I57*M68/100</f>
        <v>1.0279548465697688</v>
      </c>
      <c r="N57" s="326">
        <f t="shared" si="2"/>
        <v>2.7786939409836067</v>
      </c>
      <c r="O57" s="310" t="s">
        <v>257</v>
      </c>
      <c r="Q57" s="1"/>
    </row>
    <row r="58" spans="1:17" ht="63">
      <c r="A58" s="295" t="s">
        <v>58</v>
      </c>
      <c r="B58" s="296" t="s">
        <v>45</v>
      </c>
      <c r="C58" s="297" t="s">
        <v>15</v>
      </c>
      <c r="D58" s="275">
        <v>261</v>
      </c>
      <c r="E58" s="278">
        <f>'[7]Проект с коррет. 2021 '!$K$50</f>
        <v>239</v>
      </c>
      <c r="F58" s="278">
        <f>D58*Y58</f>
        <v>0</v>
      </c>
      <c r="G58" s="278">
        <f>'[7]Проект с коррет. 2021 '!$M$50</f>
        <v>21</v>
      </c>
      <c r="H58" s="278">
        <f>'[7]Проект с коррет. 2021 '!$N$50</f>
        <v>1</v>
      </c>
      <c r="I58" s="275">
        <f>'[10]исполнение тар.сметы-правда '!$DA$50</f>
        <v>620.6707091999999</v>
      </c>
      <c r="J58" s="275">
        <f>I58*J68/100</f>
        <v>559.8735749544273</v>
      </c>
      <c r="K58" s="275">
        <f>I58*K68/100</f>
        <v>0.2871512937552395</v>
      </c>
      <c r="L58" s="275">
        <f>I58*L68/100</f>
        <v>57.7419979231675</v>
      </c>
      <c r="M58" s="275">
        <f>I58*M68/100</f>
        <v>2.7679850286498136</v>
      </c>
      <c r="N58" s="326">
        <f t="shared" si="2"/>
        <v>1.3780486942528731</v>
      </c>
      <c r="O58" s="310" t="s">
        <v>258</v>
      </c>
      <c r="Q58" s="1"/>
    </row>
    <row r="59" spans="1:17" ht="63">
      <c r="A59" s="295" t="s">
        <v>46</v>
      </c>
      <c r="B59" s="296" t="s">
        <v>247</v>
      </c>
      <c r="C59" s="297" t="s">
        <v>15</v>
      </c>
      <c r="D59" s="275">
        <f>E59+F59+G59+H59</f>
        <v>501.9</v>
      </c>
      <c r="E59" s="278">
        <v>459</v>
      </c>
      <c r="F59" s="278">
        <v>0</v>
      </c>
      <c r="G59" s="278">
        <v>40.9</v>
      </c>
      <c r="H59" s="278">
        <v>2</v>
      </c>
      <c r="I59" s="275">
        <f>'[10]исполнение тар.сметы-правда '!$DA$51</f>
        <v>1101.3246</v>
      </c>
      <c r="J59" s="275">
        <f>I59*J68/100</f>
        <v>993.4455289214649</v>
      </c>
      <c r="K59" s="275">
        <f>I59*K68/100</f>
        <v>0.5095242598802368</v>
      </c>
      <c r="L59" s="275">
        <f>I59*L68/100</f>
        <v>102.4580052245412</v>
      </c>
      <c r="M59" s="275">
        <f>I59*M68/100</f>
        <v>4.911541594113532</v>
      </c>
      <c r="N59" s="326">
        <f t="shared" si="2"/>
        <v>1.1943108188882245</v>
      </c>
      <c r="O59" s="310" t="s">
        <v>260</v>
      </c>
      <c r="Q59" s="1"/>
    </row>
    <row r="60" spans="1:17" ht="15.75">
      <c r="A60" s="295" t="s">
        <v>235</v>
      </c>
      <c r="B60" s="296" t="s">
        <v>236</v>
      </c>
      <c r="C60" s="297" t="s">
        <v>15</v>
      </c>
      <c r="D60" s="275">
        <f>E60+F60+G60+H60</f>
        <v>131.10000000000002</v>
      </c>
      <c r="E60" s="278">
        <v>119.59798994974875</v>
      </c>
      <c r="F60" s="278">
        <v>0</v>
      </c>
      <c r="G60" s="278">
        <f>'[7]Проект с коррет. 2021 '!$M$52</f>
        <v>10.90402010050251</v>
      </c>
      <c r="H60" s="278">
        <v>0.5979899497487438</v>
      </c>
      <c r="I60" s="275">
        <f>'[10]исполнение тар.сметы-правда '!$DA$52</f>
        <v>130.53571533000002</v>
      </c>
      <c r="J60" s="275">
        <f>I60*J68/100</f>
        <v>117.74922920922101</v>
      </c>
      <c r="K60" s="275">
        <f>I60*K68/100</f>
        <v>0.06039192599661856</v>
      </c>
      <c r="L60" s="275">
        <f>I60*L68/100</f>
        <v>12.143948299411784</v>
      </c>
      <c r="M60" s="275">
        <f>I60*M68/100</f>
        <v>0.5821458953705916</v>
      </c>
      <c r="N60" s="326">
        <f t="shared" si="2"/>
        <v>-0.0043042308924485795</v>
      </c>
      <c r="O60" s="310" t="s">
        <v>259</v>
      </c>
      <c r="Q60" s="1"/>
    </row>
    <row r="61" spans="1:17" ht="15.75">
      <c r="A61" s="273" t="s">
        <v>47</v>
      </c>
      <c r="B61" s="293" t="s">
        <v>65</v>
      </c>
      <c r="C61" s="298" t="s">
        <v>15</v>
      </c>
      <c r="D61" s="311">
        <f>SUM(E61:H61)</f>
        <v>8700308.14004738</v>
      </c>
      <c r="E61" s="311">
        <f>E26+E20+2</f>
        <v>7677771.228073033</v>
      </c>
      <c r="F61" s="311">
        <f>F26+F20</f>
        <v>2528.0256720939037</v>
      </c>
      <c r="G61" s="311">
        <f>G26+G20</f>
        <v>1007740.0420588015</v>
      </c>
      <c r="H61" s="311">
        <f>H26+H20</f>
        <v>12268.844243451218</v>
      </c>
      <c r="I61" s="311">
        <f>I18+I26</f>
        <v>9345985.698547449</v>
      </c>
      <c r="J61" s="311">
        <f>J18+J26</f>
        <v>8124812.618596464</v>
      </c>
      <c r="K61" s="311">
        <f>K18+K26</f>
        <v>1572.5324426328243</v>
      </c>
      <c r="L61" s="311">
        <f>L18+L26</f>
        <v>1203888.2867052031</v>
      </c>
      <c r="M61" s="311">
        <f>M18+M26</f>
        <v>15712.26080314821</v>
      </c>
      <c r="N61" s="326">
        <f t="shared" si="2"/>
        <v>0.07421318280993106</v>
      </c>
      <c r="O61" s="312"/>
      <c r="Q61" s="1"/>
    </row>
    <row r="62" spans="1:17" ht="162.75" customHeight="1">
      <c r="A62" s="273" t="s">
        <v>48</v>
      </c>
      <c r="B62" s="293" t="s">
        <v>49</v>
      </c>
      <c r="C62" s="298" t="s">
        <v>15</v>
      </c>
      <c r="D62" s="311">
        <v>0</v>
      </c>
      <c r="E62" s="311">
        <v>0</v>
      </c>
      <c r="F62" s="311">
        <v>0</v>
      </c>
      <c r="G62" s="311">
        <v>0</v>
      </c>
      <c r="H62" s="311">
        <v>0</v>
      </c>
      <c r="I62" s="311">
        <f>I65-I61</f>
        <v>329611.5536353942</v>
      </c>
      <c r="J62" s="311">
        <f>I62*J68/100</f>
        <v>297324.8070913335</v>
      </c>
      <c r="K62" s="311">
        <f>I62*K68/100</f>
        <v>152.4937179411494</v>
      </c>
      <c r="L62" s="311">
        <f>I62*L68/100</f>
        <v>30664.294872233273</v>
      </c>
      <c r="M62" s="311">
        <f>I62*M68/100</f>
        <v>1469.9579538862768</v>
      </c>
      <c r="N62" s="326"/>
      <c r="O62" s="300" t="s">
        <v>274</v>
      </c>
      <c r="Q62" s="1"/>
    </row>
    <row r="63" spans="1:17" ht="30.75" customHeight="1">
      <c r="A63" s="273" t="s">
        <v>50</v>
      </c>
      <c r="B63" s="293" t="s">
        <v>100</v>
      </c>
      <c r="C63" s="298" t="s">
        <v>15</v>
      </c>
      <c r="D63" s="278">
        <f>SUM(E63:H63)+1</f>
        <v>39022</v>
      </c>
      <c r="E63" s="278">
        <v>35660</v>
      </c>
      <c r="F63" s="278">
        <v>31</v>
      </c>
      <c r="G63" s="278">
        <v>3173</v>
      </c>
      <c r="H63" s="278">
        <v>157</v>
      </c>
      <c r="I63" s="278">
        <f>'[12]ОС'!$E$20</f>
        <v>99577.3494977</v>
      </c>
      <c r="J63" s="278">
        <f>I63*J68/100</f>
        <v>89823.35692886561</v>
      </c>
      <c r="K63" s="278">
        <f>I63*K68/100</f>
        <v>46.06913829369766</v>
      </c>
      <c r="L63" s="278">
        <f>I63*L68/100</f>
        <v>9263.841555052262</v>
      </c>
      <c r="M63" s="278">
        <f>I63*M68/100</f>
        <v>444.0818754884198</v>
      </c>
      <c r="N63" s="326">
        <f t="shared" si="2"/>
        <v>1.5518258802137255</v>
      </c>
      <c r="O63" s="296"/>
      <c r="Q63" s="1"/>
    </row>
    <row r="64" spans="1:17" ht="31.5">
      <c r="A64" s="273" t="s">
        <v>52</v>
      </c>
      <c r="B64" s="313" t="s">
        <v>237</v>
      </c>
      <c r="C64" s="298" t="s">
        <v>15</v>
      </c>
      <c r="D64" s="278">
        <f>E64</f>
        <v>512632</v>
      </c>
      <c r="E64" s="278">
        <v>512632</v>
      </c>
      <c r="F64" s="278"/>
      <c r="G64" s="278"/>
      <c r="H64" s="278"/>
      <c r="I64" s="278">
        <f>J64</f>
        <v>-617972.1173895821</v>
      </c>
      <c r="J64" s="278">
        <f>'[11]г.Павлодар 2021 год'!$CW$1441</f>
        <v>-617972.1173895821</v>
      </c>
      <c r="K64" s="278"/>
      <c r="L64" s="278"/>
      <c r="M64" s="278"/>
      <c r="N64" s="326">
        <f t="shared" si="2"/>
        <v>-2.20548876658028</v>
      </c>
      <c r="O64" s="296" t="s">
        <v>275</v>
      </c>
      <c r="P64" s="335"/>
      <c r="Q64" s="1"/>
    </row>
    <row r="65" spans="1:17" ht="24" customHeight="1">
      <c r="A65" s="273" t="s">
        <v>53</v>
      </c>
      <c r="B65" s="293" t="s">
        <v>51</v>
      </c>
      <c r="C65" s="298" t="s">
        <v>15</v>
      </c>
      <c r="D65" s="311">
        <f>D62+D61+D64</f>
        <v>9212940.14004738</v>
      </c>
      <c r="E65" s="311">
        <f>E62+E61+E64</f>
        <v>8190403.228073033</v>
      </c>
      <c r="F65" s="311">
        <f>F62+F61</f>
        <v>2528.0256720939037</v>
      </c>
      <c r="G65" s="311">
        <f>G62+G61</f>
        <v>1007740.0420588015</v>
      </c>
      <c r="H65" s="311">
        <f>H62+H61</f>
        <v>12268.844243451218</v>
      </c>
      <c r="I65" s="311">
        <f>SUM(J65:M65)</f>
        <v>9675597.252182843</v>
      </c>
      <c r="J65" s="311">
        <f>'[8]г.Павлодар 2021'!$EG$2997+'[8]г.Павлодар 2021'!$EG$2742+'[8]г.Павлодар 2021'!$EG$2532+'[9]г.Павлодар 2021'!$CZ$3096+'[9]г.Павлодар 2021'!$CZ$2832+'[9]г.Павлодар 2021'!$CZ$2613</f>
        <v>8466205.972104844</v>
      </c>
      <c r="K65" s="311">
        <f>'[9]г.Павлодар 2021'!$CZ$879</f>
        <v>1516.0714079999998</v>
      </c>
      <c r="L65" s="311">
        <f>'[8]г.Павлодар 2021'!$EG$3295+'[9]г.Павлодар 2021'!$CZ$3403</f>
        <v>1192699.6977</v>
      </c>
      <c r="M65" s="311">
        <f>'[8]г.Павлодар 2021'!$EG$2505+'[9]г.Павлодар 2021'!$CZ$2586</f>
        <v>15175.510970000001</v>
      </c>
      <c r="N65" s="326">
        <f t="shared" si="2"/>
        <v>0.0502181828061985</v>
      </c>
      <c r="O65" s="296" t="s">
        <v>226</v>
      </c>
      <c r="Q65" s="1"/>
    </row>
    <row r="66" spans="1:17" ht="32.25" customHeight="1">
      <c r="A66" s="273" t="s">
        <v>60</v>
      </c>
      <c r="B66" s="293" t="s">
        <v>54</v>
      </c>
      <c r="C66" s="298" t="s">
        <v>55</v>
      </c>
      <c r="D66" s="314">
        <f>E66+F66+G66+H66</f>
        <v>2596.1510000000003</v>
      </c>
      <c r="E66" s="314">
        <v>2372.494</v>
      </c>
      <c r="F66" s="314">
        <v>2.072</v>
      </c>
      <c r="G66" s="314">
        <v>211.12</v>
      </c>
      <c r="H66" s="314">
        <v>10.465</v>
      </c>
      <c r="I66" s="314">
        <f>SUM(J66:M66)</f>
        <v>2685.8504211000004</v>
      </c>
      <c r="J66" s="314">
        <f>'[8]г.Павлодар 2021'!$EG$2530+'[8]г.Павлодар 2021'!$EG$2740+'[8]г.Павлодар 2021'!$EG$2995+'[9]г.Павлодар 2021'!$CZ$2611+'[9]г.Павлодар 2021'!$CZ$2830+'[9]г.Павлодар 2021'!$CZ$3094</f>
        <v>2422.7608211</v>
      </c>
      <c r="K66" s="314">
        <f>'[9]г.Павлодар 2021'!$CZ$877</f>
        <v>1.2426</v>
      </c>
      <c r="L66" s="314">
        <f>'[8]г.Павлодар 2021'!$EG$3293+'[9]г.Павлодар 2021'!$CZ$3401</f>
        <v>249.86900000000003</v>
      </c>
      <c r="M66" s="314">
        <f>'[8]г.Павлодар 2021'!$EG$2503+'[9]г.Павлодар 2021'!$CZ$2584</f>
        <v>11.978</v>
      </c>
      <c r="N66" s="326">
        <f t="shared" si="2"/>
        <v>0.034550926005459726</v>
      </c>
      <c r="O66" s="296" t="s">
        <v>226</v>
      </c>
      <c r="Q66" s="1"/>
    </row>
    <row r="67" spans="1:17" ht="40.5" customHeight="1">
      <c r="A67" s="273" t="s">
        <v>75</v>
      </c>
      <c r="B67" s="293" t="s">
        <v>70</v>
      </c>
      <c r="C67" s="298" t="s">
        <v>61</v>
      </c>
      <c r="D67" s="315"/>
      <c r="E67" s="316">
        <f>E65/E66</f>
        <v>3452.2334842882774</v>
      </c>
      <c r="F67" s="316">
        <f>F65/F66-0.01</f>
        <v>1220.0796100839304</v>
      </c>
      <c r="G67" s="316">
        <f>G65/G66</f>
        <v>4773.304481142485</v>
      </c>
      <c r="H67" s="316">
        <f>H65/H66+0.01</f>
        <v>1172.3792540326056</v>
      </c>
      <c r="I67" s="315"/>
      <c r="J67" s="316">
        <f>J65/J66</f>
        <v>3494.4456334162414</v>
      </c>
      <c r="K67" s="316">
        <f>K65/K66</f>
        <v>1220.08</v>
      </c>
      <c r="L67" s="316">
        <f>L65/L66</f>
        <v>4773.299999999999</v>
      </c>
      <c r="M67" s="316">
        <f>M65/M66</f>
        <v>1266.9486533645018</v>
      </c>
      <c r="N67" s="326">
        <f>J67/E67-1</f>
        <v>0.01222748962956266</v>
      </c>
      <c r="O67" s="294"/>
      <c r="Q67" s="1"/>
    </row>
    <row r="68" spans="1:15" s="256" customFormat="1" ht="18.75" hidden="1">
      <c r="A68" s="273"/>
      <c r="B68" s="317" t="s">
        <v>71</v>
      </c>
      <c r="C68" s="317"/>
      <c r="D68" s="318"/>
      <c r="E68" s="318"/>
      <c r="F68" s="318"/>
      <c r="G68" s="318"/>
      <c r="H68" s="318"/>
      <c r="I68" s="319">
        <f>SUM(J68:M68)</f>
        <v>100</v>
      </c>
      <c r="J68" s="320">
        <f>J66/I66*100</f>
        <v>90.20460715410016</v>
      </c>
      <c r="K68" s="320">
        <f>K66/I66*100</f>
        <v>0.04626467617995973</v>
      </c>
      <c r="L68" s="320">
        <f>L66/I66*100</f>
        <v>9.303161413496184</v>
      </c>
      <c r="M68" s="320">
        <f>M66/I66*100</f>
        <v>0.4459667562236903</v>
      </c>
      <c r="N68" s="326" t="e">
        <f t="shared" si="2"/>
        <v>#DIV/0!</v>
      </c>
      <c r="O68" s="294"/>
    </row>
    <row r="69" spans="1:17" ht="31.5">
      <c r="A69" s="273"/>
      <c r="B69" s="321" t="s">
        <v>78</v>
      </c>
      <c r="C69" s="298" t="s">
        <v>55</v>
      </c>
      <c r="D69" s="284"/>
      <c r="E69" s="284">
        <v>2372.494</v>
      </c>
      <c r="F69" s="285"/>
      <c r="G69" s="285"/>
      <c r="H69" s="285"/>
      <c r="I69" s="284"/>
      <c r="J69" s="284">
        <f>J71+J72+J73</f>
        <v>2422.7608211</v>
      </c>
      <c r="K69" s="282"/>
      <c r="L69" s="282"/>
      <c r="M69" s="282"/>
      <c r="N69" s="326">
        <f>J69/E69-1</f>
        <v>0.021187333287249643</v>
      </c>
      <c r="O69" s="296" t="s">
        <v>226</v>
      </c>
      <c r="Q69" s="1"/>
    </row>
    <row r="70" spans="1:17" ht="18.75">
      <c r="A70" s="273"/>
      <c r="B70" s="322" t="s">
        <v>13</v>
      </c>
      <c r="C70" s="323"/>
      <c r="D70" s="285"/>
      <c r="E70" s="285"/>
      <c r="F70" s="285"/>
      <c r="G70" s="285"/>
      <c r="H70" s="285"/>
      <c r="I70" s="285"/>
      <c r="J70" s="285"/>
      <c r="K70" s="282"/>
      <c r="L70" s="282"/>
      <c r="M70" s="282"/>
      <c r="N70" s="326"/>
      <c r="O70" s="294"/>
      <c r="Q70" s="1"/>
    </row>
    <row r="71" spans="1:17" ht="18.75">
      <c r="A71" s="273"/>
      <c r="B71" s="302" t="s">
        <v>103</v>
      </c>
      <c r="C71" s="298" t="s">
        <v>15</v>
      </c>
      <c r="D71" s="286"/>
      <c r="E71" s="286">
        <v>1517.21</v>
      </c>
      <c r="F71" s="285"/>
      <c r="G71" s="285"/>
      <c r="H71" s="285"/>
      <c r="I71" s="286"/>
      <c r="J71" s="286">
        <f>'[8]г.Павлодар 2021'!$EG$2530+'[9]г.Павлодар 2021'!$CZ$2611</f>
        <v>1524.3181162</v>
      </c>
      <c r="K71" s="282"/>
      <c r="L71" s="282"/>
      <c r="M71" s="282"/>
      <c r="N71" s="326">
        <f>J71/E71-1</f>
        <v>0.004684991662327498</v>
      </c>
      <c r="O71" s="310" t="s">
        <v>259</v>
      </c>
      <c r="Q71" s="1"/>
    </row>
    <row r="72" spans="1:17" ht="141.75">
      <c r="A72" s="274"/>
      <c r="B72" s="296" t="s">
        <v>77</v>
      </c>
      <c r="C72" s="298" t="s">
        <v>15</v>
      </c>
      <c r="D72" s="286"/>
      <c r="E72" s="286">
        <v>573.702</v>
      </c>
      <c r="F72" s="285"/>
      <c r="G72" s="285"/>
      <c r="H72" s="285"/>
      <c r="I72" s="286"/>
      <c r="J72" s="286">
        <f>'[8]г.Павлодар 2021'!$EG$2740+'[9]г.Павлодар 2021'!$CZ$2830</f>
        <v>619.3904947</v>
      </c>
      <c r="K72" s="282"/>
      <c r="L72" s="282"/>
      <c r="M72" s="282"/>
      <c r="N72" s="326">
        <f>J72/E72-1</f>
        <v>0.07963802583919866</v>
      </c>
      <c r="O72" s="296" t="s">
        <v>268</v>
      </c>
      <c r="Q72" s="1"/>
    </row>
    <row r="73" spans="1:17" ht="18.75">
      <c r="A73" s="274"/>
      <c r="B73" s="302" t="s">
        <v>108</v>
      </c>
      <c r="C73" s="298" t="s">
        <v>15</v>
      </c>
      <c r="D73" s="286"/>
      <c r="E73" s="286">
        <v>281.58200000000005</v>
      </c>
      <c r="F73" s="285"/>
      <c r="G73" s="285"/>
      <c r="H73" s="285"/>
      <c r="I73" s="286"/>
      <c r="J73" s="286">
        <f>'[8]г.Павлодар 2021'!$EG$2995+'[9]г.Павлодар 2021'!$CZ$3094</f>
        <v>279.0522102</v>
      </c>
      <c r="K73" s="282"/>
      <c r="L73" s="282"/>
      <c r="M73" s="282"/>
      <c r="N73" s="326">
        <f>J73/E73-1</f>
        <v>-0.00898420282546486</v>
      </c>
      <c r="O73" s="296" t="s">
        <v>226</v>
      </c>
      <c r="Q73" s="1"/>
    </row>
    <row r="74" spans="1:15" s="147" customFormat="1" ht="15.75">
      <c r="A74" s="378" t="s">
        <v>76</v>
      </c>
      <c r="B74" s="324" t="s">
        <v>70</v>
      </c>
      <c r="C74" s="379" t="s">
        <v>61</v>
      </c>
      <c r="D74" s="280"/>
      <c r="E74" s="280"/>
      <c r="F74" s="280"/>
      <c r="G74" s="280"/>
      <c r="H74" s="280"/>
      <c r="I74" s="280"/>
      <c r="J74" s="280"/>
      <c r="K74" s="280"/>
      <c r="L74" s="280"/>
      <c r="M74" s="280"/>
      <c r="N74" s="327"/>
      <c r="O74" s="312"/>
    </row>
    <row r="75" spans="1:15" s="147" customFormat="1" ht="31.5">
      <c r="A75" s="378"/>
      <c r="B75" s="310" t="s">
        <v>79</v>
      </c>
      <c r="C75" s="379"/>
      <c r="D75" s="285"/>
      <c r="E75" s="287">
        <v>1830.87</v>
      </c>
      <c r="F75" s="285"/>
      <c r="G75" s="285"/>
      <c r="H75" s="285"/>
      <c r="I75" s="285"/>
      <c r="J75" s="287">
        <f>'[11]г.Павлодар 2021 год'!$CU$11</f>
        <v>1853.2813811693773</v>
      </c>
      <c r="K75" s="282"/>
      <c r="L75" s="282"/>
      <c r="M75" s="282"/>
      <c r="N75" s="328">
        <f>J75/E75-1</f>
        <v>0.012240836962415402</v>
      </c>
      <c r="O75" s="373" t="s">
        <v>243</v>
      </c>
    </row>
    <row r="76" spans="1:15" s="147" customFormat="1" ht="31.5">
      <c r="A76" s="378"/>
      <c r="B76" s="310" t="s">
        <v>80</v>
      </c>
      <c r="C76" s="379"/>
      <c r="D76" s="285"/>
      <c r="E76" s="287">
        <v>2808.66</v>
      </c>
      <c r="F76" s="285"/>
      <c r="G76" s="285"/>
      <c r="H76" s="285"/>
      <c r="I76" s="285"/>
      <c r="J76" s="287">
        <f>'[11]г.Павлодар 2021 год'!$CU$230</f>
        <v>2797.73502159825</v>
      </c>
      <c r="K76" s="282"/>
      <c r="L76" s="282"/>
      <c r="M76" s="282"/>
      <c r="N76" s="329">
        <f aca="true" t="shared" si="7" ref="N76:N83">J76/E76-1</f>
        <v>-0.003889747567078161</v>
      </c>
      <c r="O76" s="374"/>
    </row>
    <row r="77" spans="1:15" s="147" customFormat="1" ht="63">
      <c r="A77" s="378"/>
      <c r="B77" s="310" t="s">
        <v>81</v>
      </c>
      <c r="C77" s="379"/>
      <c r="D77" s="285"/>
      <c r="E77" s="287">
        <v>2340.55</v>
      </c>
      <c r="F77" s="285"/>
      <c r="G77" s="285"/>
      <c r="H77" s="285"/>
      <c r="I77" s="285"/>
      <c r="J77" s="287">
        <v>2425.62</v>
      </c>
      <c r="K77" s="282"/>
      <c r="L77" s="282"/>
      <c r="M77" s="282"/>
      <c r="N77" s="328">
        <f t="shared" si="7"/>
        <v>0.03634615795432694</v>
      </c>
      <c r="O77" s="374"/>
    </row>
    <row r="78" spans="1:15" s="147" customFormat="1" ht="31.5">
      <c r="A78" s="378"/>
      <c r="B78" s="310" t="s">
        <v>82</v>
      </c>
      <c r="C78" s="379"/>
      <c r="D78" s="285"/>
      <c r="E78" s="287">
        <v>5642.97</v>
      </c>
      <c r="F78" s="285"/>
      <c r="G78" s="285"/>
      <c r="H78" s="285"/>
      <c r="I78" s="285"/>
      <c r="J78" s="287">
        <f>'[11]г.Павлодар 2021 год'!$CU$908</f>
        <v>5505.764015656875</v>
      </c>
      <c r="K78" s="282"/>
      <c r="L78" s="282"/>
      <c r="M78" s="282"/>
      <c r="N78" s="328">
        <f t="shared" si="7"/>
        <v>-0.024314498277170582</v>
      </c>
      <c r="O78" s="374"/>
    </row>
    <row r="79" spans="1:15" s="147" customFormat="1" ht="31.5">
      <c r="A79" s="378"/>
      <c r="B79" s="310" t="s">
        <v>83</v>
      </c>
      <c r="C79" s="379"/>
      <c r="D79" s="285"/>
      <c r="E79" s="287">
        <v>7443.68</v>
      </c>
      <c r="F79" s="285"/>
      <c r="G79" s="285"/>
      <c r="H79" s="285"/>
      <c r="I79" s="285"/>
      <c r="J79" s="287">
        <f>'[11]г.Павлодар 2021 год'!$CU$1146</f>
        <v>8366.979956571802</v>
      </c>
      <c r="K79" s="282"/>
      <c r="L79" s="282"/>
      <c r="M79" s="282"/>
      <c r="N79" s="328">
        <f t="shared" si="7"/>
        <v>0.12403810434782292</v>
      </c>
      <c r="O79" s="374"/>
    </row>
    <row r="80" spans="1:15" s="147" customFormat="1" ht="63">
      <c r="A80" s="378"/>
      <c r="B80" s="310" t="s">
        <v>84</v>
      </c>
      <c r="C80" s="379"/>
      <c r="D80" s="285"/>
      <c r="E80" s="287">
        <v>5725.91</v>
      </c>
      <c r="F80" s="285"/>
      <c r="G80" s="285"/>
      <c r="H80" s="285"/>
      <c r="I80" s="285"/>
      <c r="J80" s="287">
        <v>5881.19</v>
      </c>
      <c r="K80" s="282"/>
      <c r="L80" s="282"/>
      <c r="M80" s="282"/>
      <c r="N80" s="328">
        <f t="shared" si="7"/>
        <v>0.02711883351292621</v>
      </c>
      <c r="O80" s="374"/>
    </row>
    <row r="81" spans="1:15" s="147" customFormat="1" ht="31.5">
      <c r="A81" s="378"/>
      <c r="B81" s="310" t="s">
        <v>109</v>
      </c>
      <c r="C81" s="379"/>
      <c r="D81" s="285"/>
      <c r="E81" s="287">
        <v>5966.37</v>
      </c>
      <c r="F81" s="285"/>
      <c r="G81" s="285"/>
      <c r="H81" s="285"/>
      <c r="I81" s="285"/>
      <c r="J81" s="287">
        <f>'[11]г.Павлодар 2021 год'!$CU$452</f>
        <v>6033.430977732312</v>
      </c>
      <c r="K81" s="282"/>
      <c r="L81" s="282"/>
      <c r="M81" s="282"/>
      <c r="N81" s="328">
        <f t="shared" si="7"/>
        <v>0.01123982886282815</v>
      </c>
      <c r="O81" s="374"/>
    </row>
    <row r="82" spans="1:15" s="147" customFormat="1" ht="31.5">
      <c r="A82" s="378"/>
      <c r="B82" s="310" t="s">
        <v>110</v>
      </c>
      <c r="C82" s="379"/>
      <c r="D82" s="285"/>
      <c r="E82" s="287">
        <v>9134.8</v>
      </c>
      <c r="F82" s="285"/>
      <c r="G82" s="285"/>
      <c r="H82" s="285"/>
      <c r="I82" s="285"/>
      <c r="J82" s="287">
        <f>'[11]г.Павлодар 2021 год'!$CU$677</f>
        <v>9410.343752979457</v>
      </c>
      <c r="K82" s="282"/>
      <c r="L82" s="282"/>
      <c r="M82" s="282"/>
      <c r="N82" s="328">
        <f t="shared" si="7"/>
        <v>0.03016418016589939</v>
      </c>
      <c r="O82" s="374"/>
    </row>
    <row r="83" spans="1:15" s="147" customFormat="1" ht="63">
      <c r="A83" s="378"/>
      <c r="B83" s="310" t="s">
        <v>111</v>
      </c>
      <c r="C83" s="379"/>
      <c r="D83" s="285"/>
      <c r="E83" s="287">
        <v>6089.87</v>
      </c>
      <c r="F83" s="285"/>
      <c r="G83" s="285"/>
      <c r="H83" s="285"/>
      <c r="I83" s="285"/>
      <c r="J83" s="287">
        <v>6089.87</v>
      </c>
      <c r="K83" s="282"/>
      <c r="L83" s="282"/>
      <c r="M83" s="282"/>
      <c r="N83" s="328">
        <f t="shared" si="7"/>
        <v>0</v>
      </c>
      <c r="O83" s="375"/>
    </row>
    <row r="84" spans="1:18" s="147" customFormat="1" ht="15.75" customHeight="1" hidden="1">
      <c r="A84" s="196"/>
      <c r="B84" s="197" t="s">
        <v>72</v>
      </c>
      <c r="C84" s="198"/>
      <c r="D84" s="199"/>
      <c r="E84" s="199"/>
      <c r="F84" s="199"/>
      <c r="G84" s="200"/>
      <c r="H84" s="200"/>
      <c r="I84" s="1"/>
      <c r="J84" s="1"/>
      <c r="K84" s="1"/>
      <c r="L84" s="1"/>
      <c r="M84" s="1"/>
      <c r="N84" s="330"/>
      <c r="O84" s="200"/>
      <c r="P84" s="257"/>
      <c r="Q84" s="264"/>
      <c r="R84" s="163"/>
    </row>
    <row r="85" spans="1:18" s="147" customFormat="1" ht="15.75" customHeight="1" hidden="1">
      <c r="A85" s="196"/>
      <c r="B85" s="201" t="s">
        <v>85</v>
      </c>
      <c r="C85" s="198" t="s">
        <v>86</v>
      </c>
      <c r="D85" s="272">
        <v>132</v>
      </c>
      <c r="E85" s="272"/>
      <c r="F85" s="272"/>
      <c r="G85" s="272"/>
      <c r="H85" s="272"/>
      <c r="I85" s="1"/>
      <c r="J85" s="1"/>
      <c r="K85" s="1"/>
      <c r="L85" s="1"/>
      <c r="M85" s="1"/>
      <c r="N85" s="272"/>
      <c r="O85" s="272"/>
      <c r="P85" s="267">
        <f>E30/D85-1</f>
        <v>33.292080248741485</v>
      </c>
      <c r="Q85" s="255" t="s">
        <v>97</v>
      </c>
      <c r="R85" s="163"/>
    </row>
    <row r="86" spans="1:18" s="147" customFormat="1" ht="41.25" customHeight="1" hidden="1">
      <c r="A86" s="196"/>
      <c r="B86" s="201" t="s">
        <v>87</v>
      </c>
      <c r="C86" s="198" t="s">
        <v>73</v>
      </c>
      <c r="D86" s="271" t="e">
        <f>#REF!/132/12*1000</f>
        <v>#REF!</v>
      </c>
      <c r="E86" s="271"/>
      <c r="F86" s="271"/>
      <c r="G86" s="271"/>
      <c r="H86" s="271"/>
      <c r="I86" s="1"/>
      <c r="J86" s="1"/>
      <c r="K86" s="1"/>
      <c r="L86" s="1"/>
      <c r="M86" s="1"/>
      <c r="N86" s="271"/>
      <c r="O86" s="271"/>
      <c r="P86" s="267" t="e">
        <f>E31/D86-1</f>
        <v>#REF!</v>
      </c>
      <c r="Q86" s="265"/>
      <c r="R86" s="163"/>
    </row>
    <row r="87" spans="1:18" s="147" customFormat="1" ht="15.75" hidden="1">
      <c r="A87" s="196"/>
      <c r="B87" s="202" t="s">
        <v>88</v>
      </c>
      <c r="C87" s="198" t="s">
        <v>89</v>
      </c>
      <c r="D87" s="199"/>
      <c r="E87" s="199" t="e">
        <f>#REF!/#REF!</f>
        <v>#REF!</v>
      </c>
      <c r="F87" s="199" t="e">
        <f>#REF!/#REF!</f>
        <v>#REF!</v>
      </c>
      <c r="G87" s="199" t="e">
        <f>#REF!/#REF!</f>
        <v>#REF!</v>
      </c>
      <c r="H87" s="199" t="e">
        <f>#REF!/#REF!</f>
        <v>#REF!</v>
      </c>
      <c r="I87" s="1"/>
      <c r="J87" s="1"/>
      <c r="K87" s="1"/>
      <c r="L87" s="1"/>
      <c r="M87" s="1"/>
      <c r="N87" s="331" t="e">
        <f>#REF!/#REF!</f>
        <v>#REF!</v>
      </c>
      <c r="O87" s="199" t="e">
        <f>#REF!/#REF!</f>
        <v>#REF!</v>
      </c>
      <c r="P87" s="257"/>
      <c r="Q87" s="219"/>
      <c r="R87" s="163"/>
    </row>
    <row r="88" spans="1:18" s="147" customFormat="1" ht="15.75">
      <c r="A88" s="165"/>
      <c r="B88" s="165"/>
      <c r="C88" s="7"/>
      <c r="D88" s="165"/>
      <c r="E88" s="165"/>
      <c r="F88" s="165"/>
      <c r="G88" s="7"/>
      <c r="H88" s="165"/>
      <c r="I88" s="1"/>
      <c r="J88" s="1"/>
      <c r="K88" s="1"/>
      <c r="L88" s="1"/>
      <c r="M88" s="1"/>
      <c r="N88" s="332"/>
      <c r="O88" s="166"/>
      <c r="P88" s="165"/>
      <c r="Q88" s="220"/>
      <c r="R88" s="163"/>
    </row>
    <row r="89" spans="1:17" ht="23.25" customHeight="1">
      <c r="A89" s="25" t="s">
        <v>95</v>
      </c>
      <c r="B89" s="214"/>
      <c r="C89" s="25"/>
      <c r="D89" s="25"/>
      <c r="E89" s="25"/>
      <c r="F89" s="25"/>
      <c r="G89" s="7"/>
      <c r="H89" s="7"/>
      <c r="N89" s="283"/>
      <c r="Q89" s="221"/>
    </row>
    <row r="90" spans="1:14" ht="15.75">
      <c r="A90" s="26" t="s">
        <v>113</v>
      </c>
      <c r="B90" s="214"/>
      <c r="C90" s="26"/>
      <c r="D90" s="27"/>
      <c r="E90" s="27"/>
      <c r="F90" s="27"/>
      <c r="G90" s="5"/>
      <c r="H90" s="5"/>
      <c r="N90" s="333"/>
    </row>
    <row r="91" spans="1:14" ht="15.75">
      <c r="A91" s="26" t="s">
        <v>107</v>
      </c>
      <c r="B91" s="214"/>
      <c r="C91" s="27"/>
      <c r="D91" s="27"/>
      <c r="E91" s="27"/>
      <c r="F91" s="27"/>
      <c r="H91" s="5"/>
      <c r="N91" s="333"/>
    </row>
    <row r="92" spans="1:14" ht="15.75">
      <c r="A92" s="26" t="s">
        <v>114</v>
      </c>
      <c r="B92" s="214"/>
      <c r="C92" s="26"/>
      <c r="D92" s="27"/>
      <c r="E92" s="27"/>
      <c r="F92" s="27"/>
      <c r="G92" s="5"/>
      <c r="H92" s="5"/>
      <c r="N92" s="333"/>
    </row>
    <row r="93" spans="1:14" ht="15.75">
      <c r="A93" s="26" t="s">
        <v>242</v>
      </c>
      <c r="B93" s="214"/>
      <c r="C93" s="26"/>
      <c r="D93" s="27"/>
      <c r="E93" s="27"/>
      <c r="F93" s="27"/>
      <c r="G93" s="5"/>
      <c r="H93" s="5"/>
      <c r="N93" s="333"/>
    </row>
    <row r="94" spans="1:14" ht="15.75">
      <c r="A94" s="26"/>
      <c r="B94" s="214"/>
      <c r="C94" s="26"/>
      <c r="D94" s="27"/>
      <c r="E94" s="27"/>
      <c r="F94" s="27"/>
      <c r="G94" s="5"/>
      <c r="H94" s="5"/>
      <c r="N94" s="333"/>
    </row>
    <row r="95" spans="1:14" ht="15.75">
      <c r="A95" s="27" t="s">
        <v>230</v>
      </c>
      <c r="B95" s="214"/>
      <c r="C95" s="27"/>
      <c r="D95" s="27"/>
      <c r="E95" s="27"/>
      <c r="F95" s="27"/>
      <c r="G95" s="5"/>
      <c r="H95" s="5"/>
      <c r="M95" s="27" t="s">
        <v>229</v>
      </c>
      <c r="N95" s="333"/>
    </row>
    <row r="96" spans="1:14" ht="15.75">
      <c r="A96" s="26"/>
      <c r="B96" s="214"/>
      <c r="C96" s="26"/>
      <c r="D96" s="27"/>
      <c r="E96" s="27"/>
      <c r="F96" s="27"/>
      <c r="G96" s="5"/>
      <c r="H96" s="5"/>
      <c r="N96" s="333"/>
    </row>
    <row r="97" spans="1:14" ht="15.75">
      <c r="A97" s="26" t="s">
        <v>239</v>
      </c>
      <c r="B97" s="214"/>
      <c r="C97" s="26"/>
      <c r="D97" s="27"/>
      <c r="E97" s="27"/>
      <c r="F97" s="27"/>
      <c r="G97" s="5"/>
      <c r="H97" s="5"/>
      <c r="N97" s="333"/>
    </row>
    <row r="98" spans="1:14" ht="15.75">
      <c r="A98" s="26" t="s">
        <v>96</v>
      </c>
      <c r="B98" s="214"/>
      <c r="C98" s="26"/>
      <c r="D98" s="27"/>
      <c r="E98" s="27"/>
      <c r="F98" s="27"/>
      <c r="H98" s="5"/>
      <c r="N98" s="334" t="s">
        <v>116</v>
      </c>
    </row>
    <row r="99" spans="8:16" ht="15.75">
      <c r="H99" s="5"/>
      <c r="N99" s="333"/>
      <c r="O99" s="5"/>
      <c r="P99" s="5"/>
    </row>
    <row r="100" spans="8:16" ht="15.75">
      <c r="H100" s="5"/>
      <c r="N100" s="333"/>
      <c r="O100" s="5"/>
      <c r="P100" s="5"/>
    </row>
    <row r="101" spans="8:16" ht="15.75">
      <c r="H101" s="5"/>
      <c r="N101" s="333"/>
      <c r="O101" s="5"/>
      <c r="P101" s="5"/>
    </row>
    <row r="102" ht="15" outlineLevel="1"/>
    <row r="103" ht="15" outlineLevel="1"/>
    <row r="104" ht="15" outlineLevel="1"/>
    <row r="105" ht="15" outlineLevel="1"/>
    <row r="106" ht="12.75" customHeight="1" outlineLevel="1"/>
    <row r="107" ht="15" outlineLevel="1"/>
    <row r="108" ht="15" outlineLevel="1"/>
    <row r="109" ht="15" outlineLevel="1"/>
    <row r="110" ht="15" outlineLevel="1"/>
    <row r="111" ht="15" outlineLevel="1"/>
    <row r="112" ht="15" outlineLevel="1"/>
    <row r="113" ht="15" outlineLevel="1"/>
    <row r="114" ht="15" outlineLevel="1"/>
    <row r="115" ht="15" outlineLevel="1"/>
  </sheetData>
  <sheetProtection/>
  <mergeCells count="24">
    <mergeCell ref="B5:O5"/>
    <mergeCell ref="N13:O13"/>
    <mergeCell ref="I15:I16"/>
    <mergeCell ref="I14:M14"/>
    <mergeCell ref="J15:J16"/>
    <mergeCell ref="F15:H15"/>
    <mergeCell ref="K15:M15"/>
    <mergeCell ref="A42:A43"/>
    <mergeCell ref="B14:B16"/>
    <mergeCell ref="C14:C16"/>
    <mergeCell ref="A28:A29"/>
    <mergeCell ref="A38:A39"/>
    <mergeCell ref="N14:N16"/>
    <mergeCell ref="D14:H14"/>
    <mergeCell ref="O32:O36"/>
    <mergeCell ref="O75:O83"/>
    <mergeCell ref="D15:D16"/>
    <mergeCell ref="E15:E16"/>
    <mergeCell ref="O14:O16"/>
    <mergeCell ref="A14:A16"/>
    <mergeCell ref="A74:A83"/>
    <mergeCell ref="C74:C83"/>
    <mergeCell ref="A32:A33"/>
    <mergeCell ref="A49:A53"/>
  </mergeCells>
  <printOptions/>
  <pageMargins left="0" right="0" top="0.1968503937007874" bottom="0.1968503937007874" header="0" footer="0"/>
  <pageSetup fitToHeight="0" horizontalDpi="600" verticalDpi="600" orientation="landscape" paperSize="9" scale="48" r:id="rId3"/>
  <rowBreaks count="1" manualBreakCount="1">
    <brk id="78" max="14" man="1"/>
  </rowBreaks>
  <legacyDrawing r:id="rId2"/>
</worksheet>
</file>

<file path=xl/worksheets/sheet2.xml><?xml version="1.0" encoding="utf-8"?>
<worksheet xmlns="http://schemas.openxmlformats.org/spreadsheetml/2006/main" xmlns:r="http://schemas.openxmlformats.org/officeDocument/2006/relationships">
  <sheetPr>
    <tabColor rgb="FFFF0000"/>
  </sheetPr>
  <dimension ref="A1:R101"/>
  <sheetViews>
    <sheetView zoomScale="85" zoomScaleNormal="85" zoomScaleSheetLayoutView="80" zoomScalePageLayoutView="0" workbookViewId="0" topLeftCell="A1">
      <pane ySplit="16" topLeftCell="A17" activePane="bottomLeft" state="frozen"/>
      <selection pane="topLeft" activeCell="A1" sqref="A1"/>
      <selection pane="bottomLeft" activeCell="I41" sqref="I41"/>
    </sheetView>
  </sheetViews>
  <sheetFormatPr defaultColWidth="9.00390625" defaultRowHeight="12.75" outlineLevelRow="1"/>
  <cols>
    <col min="1" max="1" width="7.00390625" style="1" customWidth="1"/>
    <col min="2" max="2" width="64.875" style="1" customWidth="1"/>
    <col min="3" max="3" width="9.375" style="1" customWidth="1"/>
    <col min="4" max="4" width="15.25390625" style="1" customWidth="1"/>
    <col min="5" max="5" width="22.25390625" style="1" customWidth="1"/>
    <col min="6" max="6" width="14.625" style="1" customWidth="1"/>
    <col min="7" max="7" width="20.25390625" style="1" customWidth="1"/>
    <col min="8" max="8" width="14.625" style="1" customWidth="1"/>
    <col min="9" max="9" width="14.875" style="1" customWidth="1"/>
    <col min="10" max="10" width="22.625" style="1" customWidth="1"/>
    <col min="11" max="13" width="14.625" style="1" customWidth="1"/>
    <col min="14" max="14" width="15.125" style="325" customWidth="1"/>
    <col min="15" max="15" width="50.875" style="1" customWidth="1"/>
    <col min="16" max="16" width="15.375" style="1" customWidth="1"/>
    <col min="17" max="17" width="28.875" style="253" customWidth="1"/>
    <col min="18" max="16384" width="9.125" style="1" customWidth="1"/>
  </cols>
  <sheetData>
    <row r="1" spans="1:18" ht="18.75">
      <c r="A1" s="13"/>
      <c r="B1" s="13"/>
      <c r="C1" s="13"/>
      <c r="D1" s="13"/>
      <c r="E1" s="14"/>
      <c r="F1" s="14"/>
      <c r="G1" s="14"/>
      <c r="H1" s="14"/>
      <c r="I1" s="14"/>
      <c r="O1" s="269" t="s">
        <v>98</v>
      </c>
      <c r="R1" s="268"/>
    </row>
    <row r="2" spans="1:18" ht="14.25" customHeight="1">
      <c r="A2" s="147"/>
      <c r="B2" s="147"/>
      <c r="C2" s="147"/>
      <c r="D2" s="147"/>
      <c r="O2" s="270" t="s">
        <v>227</v>
      </c>
      <c r="R2" s="268"/>
    </row>
    <row r="3" spans="1:18" ht="18.75">
      <c r="A3" s="147"/>
      <c r="B3" s="147"/>
      <c r="C3" s="147"/>
      <c r="D3" s="147"/>
      <c r="O3" s="269" t="s">
        <v>228</v>
      </c>
      <c r="R3" s="268"/>
    </row>
    <row r="4" spans="4:17" ht="15.75">
      <c r="D4" s="258"/>
      <c r="E4" s="258"/>
      <c r="F4" s="258"/>
      <c r="G4" s="258"/>
      <c r="H4" s="258"/>
      <c r="I4" s="258"/>
      <c r="Q4" s="266"/>
    </row>
    <row r="5" spans="1:17" ht="30.75" customHeight="1" outlineLevel="1">
      <c r="A5" s="259"/>
      <c r="B5" s="384" t="s">
        <v>117</v>
      </c>
      <c r="C5" s="384"/>
      <c r="D5" s="384"/>
      <c r="E5" s="384"/>
      <c r="F5" s="384"/>
      <c r="G5" s="384"/>
      <c r="H5" s="384"/>
      <c r="I5" s="384"/>
      <c r="J5" s="384"/>
      <c r="K5" s="384"/>
      <c r="L5" s="384"/>
      <c r="M5" s="384"/>
      <c r="N5" s="384"/>
      <c r="O5" s="384"/>
      <c r="P5" s="31"/>
      <c r="Q5" s="233"/>
    </row>
    <row r="6" spans="1:17" ht="22.5" customHeight="1" outlineLevel="1">
      <c r="A6" s="259"/>
      <c r="B6" s="260"/>
      <c r="C6" s="260"/>
      <c r="D6" s="260"/>
      <c r="E6" s="260"/>
      <c r="F6" s="260"/>
      <c r="G6" s="260"/>
      <c r="H6" s="260"/>
      <c r="I6" s="260"/>
      <c r="J6" s="260"/>
      <c r="K6" s="260"/>
      <c r="L6" s="260"/>
      <c r="M6" s="260"/>
      <c r="N6" s="260"/>
      <c r="O6" s="260"/>
      <c r="P6" s="31"/>
      <c r="Q6" s="233"/>
    </row>
    <row r="7" spans="1:17" ht="15.75" outlineLevel="1">
      <c r="A7" s="261" t="s">
        <v>278</v>
      </c>
      <c r="B7" s="147"/>
      <c r="C7" s="338"/>
      <c r="D7" s="147"/>
      <c r="E7" s="147"/>
      <c r="F7" s="259"/>
      <c r="G7" s="259"/>
      <c r="H7" s="259"/>
      <c r="I7" s="259"/>
      <c r="J7" s="259"/>
      <c r="K7" s="259"/>
      <c r="L7" s="259"/>
      <c r="M7" s="259"/>
      <c r="N7" s="260"/>
      <c r="O7" s="31"/>
      <c r="P7" s="31"/>
      <c r="Q7" s="233"/>
    </row>
    <row r="8" spans="1:17" ht="15.75" outlineLevel="1">
      <c r="A8" s="261" t="s">
        <v>119</v>
      </c>
      <c r="B8" s="147"/>
      <c r="C8" s="338"/>
      <c r="D8" s="147"/>
      <c r="E8" s="147"/>
      <c r="F8" s="259"/>
      <c r="G8" s="259"/>
      <c r="H8" s="259"/>
      <c r="I8" s="259"/>
      <c r="J8" s="259"/>
      <c r="K8" s="259"/>
      <c r="L8" s="259"/>
      <c r="M8" s="259"/>
      <c r="N8" s="260"/>
      <c r="O8" s="31"/>
      <c r="P8" s="31"/>
      <c r="Q8" s="233"/>
    </row>
    <row r="9" spans="1:17" ht="15.75" outlineLevel="1">
      <c r="A9" s="261" t="s">
        <v>120</v>
      </c>
      <c r="B9" s="147"/>
      <c r="C9" s="338"/>
      <c r="D9" s="147"/>
      <c r="E9" s="147"/>
      <c r="F9" s="259"/>
      <c r="G9" s="259"/>
      <c r="H9" s="259"/>
      <c r="I9" s="259"/>
      <c r="J9" s="259"/>
      <c r="K9" s="259"/>
      <c r="L9" s="259"/>
      <c r="M9" s="259"/>
      <c r="N9" s="260"/>
      <c r="O9" s="31"/>
      <c r="P9" s="31"/>
      <c r="Q9" s="233"/>
    </row>
    <row r="10" spans="1:17" ht="15.75" outlineLevel="1">
      <c r="A10" s="261" t="s">
        <v>279</v>
      </c>
      <c r="B10" s="147"/>
      <c r="C10" s="338"/>
      <c r="D10" s="147"/>
      <c r="E10" s="147"/>
      <c r="F10" s="259"/>
      <c r="G10" s="259"/>
      <c r="H10" s="259"/>
      <c r="I10" s="259"/>
      <c r="J10" s="259"/>
      <c r="K10" s="259"/>
      <c r="L10" s="259"/>
      <c r="M10" s="259"/>
      <c r="N10" s="260"/>
      <c r="O10" s="31"/>
      <c r="P10" s="31"/>
      <c r="Q10" s="233"/>
    </row>
    <row r="11" spans="1:17" ht="15.75" outlineLevel="1">
      <c r="A11" s="261" t="s">
        <v>280</v>
      </c>
      <c r="B11" s="147"/>
      <c r="C11" s="338"/>
      <c r="D11" s="147"/>
      <c r="E11" s="147"/>
      <c r="F11" s="259"/>
      <c r="G11" s="259"/>
      <c r="H11" s="259"/>
      <c r="I11" s="259"/>
      <c r="J11" s="259"/>
      <c r="K11" s="259"/>
      <c r="L11" s="259"/>
      <c r="M11" s="259"/>
      <c r="N11" s="260"/>
      <c r="O11" s="31"/>
      <c r="P11" s="31"/>
      <c r="Q11" s="233"/>
    </row>
    <row r="12" spans="1:17" ht="15.75" outlineLevel="1">
      <c r="A12" s="10" t="s">
        <v>281</v>
      </c>
      <c r="B12" s="339"/>
      <c r="C12" s="338"/>
      <c r="D12" s="340"/>
      <c r="E12" s="340"/>
      <c r="F12" s="10"/>
      <c r="G12" s="10"/>
      <c r="H12" s="10"/>
      <c r="I12" s="10"/>
      <c r="J12" s="10"/>
      <c r="K12" s="31"/>
      <c r="L12" s="10"/>
      <c r="M12" s="10"/>
      <c r="N12" s="33"/>
      <c r="O12" s="10"/>
      <c r="P12" s="10"/>
      <c r="Q12" s="234"/>
    </row>
    <row r="13" spans="1:17" ht="19.5" customHeight="1" outlineLevel="1">
      <c r="A13" s="33"/>
      <c r="B13" s="10"/>
      <c r="C13" s="262"/>
      <c r="D13" s="263"/>
      <c r="E13" s="263"/>
      <c r="F13" s="263"/>
      <c r="G13" s="263"/>
      <c r="H13" s="263"/>
      <c r="I13" s="263"/>
      <c r="J13" s="10"/>
      <c r="K13" s="31"/>
      <c r="L13" s="10"/>
      <c r="M13" s="10"/>
      <c r="N13" s="385"/>
      <c r="O13" s="385"/>
      <c r="P13" s="10"/>
      <c r="Q13" s="234"/>
    </row>
    <row r="14" spans="1:17" ht="30" customHeight="1">
      <c r="A14" s="376" t="s">
        <v>244</v>
      </c>
      <c r="B14" s="376" t="s">
        <v>125</v>
      </c>
      <c r="C14" s="376" t="s">
        <v>282</v>
      </c>
      <c r="D14" s="380" t="s">
        <v>283</v>
      </c>
      <c r="E14" s="380"/>
      <c r="F14" s="380"/>
      <c r="G14" s="380"/>
      <c r="H14" s="380"/>
      <c r="I14" s="376" t="s">
        <v>284</v>
      </c>
      <c r="J14" s="376"/>
      <c r="K14" s="376"/>
      <c r="L14" s="376"/>
      <c r="M14" s="376"/>
      <c r="N14" s="382" t="s">
        <v>285</v>
      </c>
      <c r="O14" s="376" t="s">
        <v>286</v>
      </c>
      <c r="Q14" s="1"/>
    </row>
    <row r="15" spans="1:17" ht="51" customHeight="1">
      <c r="A15" s="376"/>
      <c r="B15" s="376"/>
      <c r="C15" s="376"/>
      <c r="D15" s="376" t="s">
        <v>287</v>
      </c>
      <c r="E15" s="377" t="s">
        <v>132</v>
      </c>
      <c r="F15" s="377" t="s">
        <v>288</v>
      </c>
      <c r="G15" s="377"/>
      <c r="H15" s="377"/>
      <c r="I15" s="376" t="s">
        <v>287</v>
      </c>
      <c r="J15" s="377" t="s">
        <v>132</v>
      </c>
      <c r="K15" s="377" t="s">
        <v>133</v>
      </c>
      <c r="L15" s="377"/>
      <c r="M15" s="377"/>
      <c r="N15" s="383"/>
      <c r="O15" s="376"/>
      <c r="Q15" s="1"/>
    </row>
    <row r="16" spans="1:17" ht="32.25" customHeight="1">
      <c r="A16" s="376"/>
      <c r="B16" s="376"/>
      <c r="C16" s="376"/>
      <c r="D16" s="376"/>
      <c r="E16" s="377"/>
      <c r="F16" s="289" t="s">
        <v>289</v>
      </c>
      <c r="G16" s="289" t="s">
        <v>290</v>
      </c>
      <c r="H16" s="289" t="s">
        <v>291</v>
      </c>
      <c r="I16" s="376"/>
      <c r="J16" s="377"/>
      <c r="K16" s="289" t="s">
        <v>292</v>
      </c>
      <c r="L16" s="289" t="s">
        <v>293</v>
      </c>
      <c r="M16" s="289" t="s">
        <v>291</v>
      </c>
      <c r="N16" s="383"/>
      <c r="O16" s="376"/>
      <c r="Q16" s="1"/>
    </row>
    <row r="17" spans="1:17" ht="15.75">
      <c r="A17" s="291">
        <v>1</v>
      </c>
      <c r="B17" s="290">
        <v>2</v>
      </c>
      <c r="C17" s="290">
        <v>3</v>
      </c>
      <c r="D17" s="292">
        <v>4</v>
      </c>
      <c r="E17" s="292">
        <v>5</v>
      </c>
      <c r="F17" s="292">
        <v>6</v>
      </c>
      <c r="G17" s="292">
        <v>7</v>
      </c>
      <c r="H17" s="292">
        <v>8</v>
      </c>
      <c r="I17" s="292">
        <v>9</v>
      </c>
      <c r="J17" s="292">
        <v>10</v>
      </c>
      <c r="K17" s="292">
        <v>11</v>
      </c>
      <c r="L17" s="292">
        <v>12</v>
      </c>
      <c r="M17" s="292">
        <v>13</v>
      </c>
      <c r="N17" s="291">
        <v>14</v>
      </c>
      <c r="O17" s="291">
        <v>15</v>
      </c>
      <c r="P17" s="283"/>
      <c r="Q17" s="1"/>
    </row>
    <row r="18" spans="1:17" ht="31.5">
      <c r="A18" s="291" t="s">
        <v>11</v>
      </c>
      <c r="B18" s="293" t="s">
        <v>294</v>
      </c>
      <c r="C18" s="290" t="s">
        <v>12</v>
      </c>
      <c r="D18" s="276">
        <f aca="true" t="shared" si="0" ref="D18:M18">D20</f>
        <v>8534931</v>
      </c>
      <c r="E18" s="276">
        <f t="shared" si="0"/>
        <v>7526640</v>
      </c>
      <c r="F18" s="276">
        <f t="shared" si="0"/>
        <v>2397</v>
      </c>
      <c r="G18" s="276">
        <f t="shared" si="0"/>
        <v>994291</v>
      </c>
      <c r="H18" s="276">
        <f t="shared" si="0"/>
        <v>11603</v>
      </c>
      <c r="I18" s="276">
        <f t="shared" si="0"/>
        <v>9054630.501099396</v>
      </c>
      <c r="J18" s="276">
        <f t="shared" si="0"/>
        <v>7861996.807315395</v>
      </c>
      <c r="K18" s="276">
        <f t="shared" si="0"/>
        <v>1437.737904</v>
      </c>
      <c r="L18" s="276">
        <f t="shared" si="0"/>
        <v>1176783.0424000002</v>
      </c>
      <c r="M18" s="276">
        <f t="shared" si="0"/>
        <v>14412.91348</v>
      </c>
      <c r="N18" s="341">
        <f>I18/D18-1</f>
        <v>0.06089088489401928</v>
      </c>
      <c r="O18" s="342"/>
      <c r="Q18" s="1"/>
    </row>
    <row r="19" spans="1:17" ht="20.25" customHeight="1">
      <c r="A19" s="295"/>
      <c r="B19" s="296" t="s">
        <v>295</v>
      </c>
      <c r="C19" s="297"/>
      <c r="D19" s="275"/>
      <c r="E19" s="275"/>
      <c r="F19" s="275"/>
      <c r="G19" s="275"/>
      <c r="H19" s="275"/>
      <c r="I19" s="275"/>
      <c r="J19" s="275"/>
      <c r="K19" s="275"/>
      <c r="L19" s="275"/>
      <c r="M19" s="275"/>
      <c r="N19" s="341"/>
      <c r="O19" s="342"/>
      <c r="Q19" s="1"/>
    </row>
    <row r="20" spans="1:17" ht="18.75">
      <c r="A20" s="291">
        <v>1</v>
      </c>
      <c r="B20" s="343" t="s">
        <v>144</v>
      </c>
      <c r="C20" s="298" t="s">
        <v>15</v>
      </c>
      <c r="D20" s="276">
        <f aca="true" t="shared" si="1" ref="D20:M20">D22+D23+D24+D25</f>
        <v>8534931</v>
      </c>
      <c r="E20" s="276">
        <f t="shared" si="1"/>
        <v>7526640</v>
      </c>
      <c r="F20" s="276">
        <f t="shared" si="1"/>
        <v>2397</v>
      </c>
      <c r="G20" s="276">
        <f t="shared" si="1"/>
        <v>994291</v>
      </c>
      <c r="H20" s="276">
        <f t="shared" si="1"/>
        <v>11603</v>
      </c>
      <c r="I20" s="276">
        <f t="shared" si="1"/>
        <v>9054630.501099396</v>
      </c>
      <c r="J20" s="276">
        <f t="shared" si="1"/>
        <v>7861996.807315395</v>
      </c>
      <c r="K20" s="276">
        <f t="shared" si="1"/>
        <v>1437.737904</v>
      </c>
      <c r="L20" s="276">
        <f t="shared" si="1"/>
        <v>1176783.0424000002</v>
      </c>
      <c r="M20" s="276">
        <f t="shared" si="1"/>
        <v>14412.91348</v>
      </c>
      <c r="N20" s="341">
        <f>I20/D20-1</f>
        <v>0.06089088489401928</v>
      </c>
      <c r="O20" s="342"/>
      <c r="Q20" s="1"/>
    </row>
    <row r="21" spans="1:17" ht="21" customHeight="1">
      <c r="A21" s="295"/>
      <c r="B21" s="296" t="s">
        <v>295</v>
      </c>
      <c r="C21" s="297" t="s">
        <v>15</v>
      </c>
      <c r="D21" s="280"/>
      <c r="E21" s="280"/>
      <c r="F21" s="280"/>
      <c r="G21" s="280"/>
      <c r="H21" s="280"/>
      <c r="I21" s="280"/>
      <c r="J21" s="280"/>
      <c r="K21" s="280"/>
      <c r="L21" s="280"/>
      <c r="M21" s="280"/>
      <c r="N21" s="341"/>
      <c r="O21" s="342"/>
      <c r="Q21" s="1"/>
    </row>
    <row r="22" spans="1:17" ht="63">
      <c r="A22" s="295" t="s">
        <v>0</v>
      </c>
      <c r="B22" s="296" t="s">
        <v>296</v>
      </c>
      <c r="C22" s="297" t="s">
        <v>15</v>
      </c>
      <c r="D22" s="275">
        <f>E22</f>
        <v>2659279</v>
      </c>
      <c r="E22" s="275">
        <f>'[7]Проект с коррет. 2021 '!$K$14</f>
        <v>2659279</v>
      </c>
      <c r="F22" s="344"/>
      <c r="G22" s="344"/>
      <c r="H22" s="344"/>
      <c r="I22" s="275">
        <f>J22+K22+L22+M22</f>
        <v>2875689.90908116</v>
      </c>
      <c r="J22" s="275">
        <f>'[8]г.Павлодар 2021'!$EL$2997+'[8]г.Павлодар 2021'!$EL$2742+'[8]г.Павлодар 2021'!$EL$2532+'[9]г.Павлодар 2021'!$DE$3096+'[9]г.Павлодар 2021'!$DE$2832+'[9]г.Павлодар 2021'!$DE$2613</f>
        <v>2875689.90908116</v>
      </c>
      <c r="K22" s="275">
        <v>0</v>
      </c>
      <c r="L22" s="275">
        <v>0</v>
      </c>
      <c r="M22" s="275">
        <v>0</v>
      </c>
      <c r="N22" s="341">
        <f>I22/D22-1</f>
        <v>0.0813795427561983</v>
      </c>
      <c r="O22" s="300" t="s">
        <v>297</v>
      </c>
      <c r="Q22" s="1"/>
    </row>
    <row r="23" spans="1:17" ht="110.25">
      <c r="A23" s="295" t="s">
        <v>1</v>
      </c>
      <c r="B23" s="296" t="s">
        <v>298</v>
      </c>
      <c r="C23" s="297" t="s">
        <v>15</v>
      </c>
      <c r="D23" s="278">
        <f>F23+H23</f>
        <v>14000</v>
      </c>
      <c r="E23" s="278"/>
      <c r="F23" s="278">
        <f>'[7]Проект с коррет. 2021 '!$L$15</f>
        <v>2397</v>
      </c>
      <c r="G23" s="278"/>
      <c r="H23" s="278">
        <f>'[7]Проект с коррет. 2021 '!$N$15</f>
        <v>11603</v>
      </c>
      <c r="I23" s="278">
        <f>J23+K23+L23+M23</f>
        <v>15850.651383999999</v>
      </c>
      <c r="J23" s="278">
        <v>0</v>
      </c>
      <c r="K23" s="278">
        <f>'[9]г.Павлодар 2021'!$DE$879</f>
        <v>1437.737904</v>
      </c>
      <c r="L23" s="278">
        <v>0</v>
      </c>
      <c r="M23" s="278">
        <f>'[8]г.Павлодар 2021'!$EL$2505+'[9]г.Павлодар 2021'!$DE$2586</f>
        <v>14412.91348</v>
      </c>
      <c r="N23" s="341">
        <f>I23/D23-1</f>
        <v>0.1321893845714286</v>
      </c>
      <c r="O23" s="300" t="s">
        <v>299</v>
      </c>
      <c r="Q23" s="1"/>
    </row>
    <row r="24" spans="1:17" ht="102.75" customHeight="1">
      <c r="A24" s="295" t="s">
        <v>56</v>
      </c>
      <c r="B24" s="296" t="s">
        <v>300</v>
      </c>
      <c r="C24" s="297" t="s">
        <v>15</v>
      </c>
      <c r="D24" s="275">
        <f>G24</f>
        <v>994291</v>
      </c>
      <c r="E24" s="275"/>
      <c r="F24" s="275"/>
      <c r="G24" s="275">
        <f>'[7]Проект с коррет. 2021 '!$M$16</f>
        <v>994291</v>
      </c>
      <c r="H24" s="275"/>
      <c r="I24" s="275">
        <f>J24+K24+L24+M24</f>
        <v>1176783.0424000002</v>
      </c>
      <c r="J24" s="275">
        <v>0</v>
      </c>
      <c r="K24" s="275">
        <v>0</v>
      </c>
      <c r="L24" s="275">
        <f>'[8]г.Павлодар 2021'!$EL$3295+'[9]г.Павлодар 2021'!$DE$3403</f>
        <v>1176783.0424000002</v>
      </c>
      <c r="M24" s="275">
        <f>0</f>
        <v>0</v>
      </c>
      <c r="N24" s="341">
        <f>I24/D24-1</f>
        <v>0.18353987152654527</v>
      </c>
      <c r="O24" s="296" t="s">
        <v>301</v>
      </c>
      <c r="Q24" s="1"/>
    </row>
    <row r="25" spans="1:17" ht="78.75">
      <c r="A25" s="295" t="s">
        <v>57</v>
      </c>
      <c r="B25" s="296" t="s">
        <v>151</v>
      </c>
      <c r="C25" s="297" t="s">
        <v>15</v>
      </c>
      <c r="D25" s="275">
        <f>E25</f>
        <v>4867361</v>
      </c>
      <c r="E25" s="275">
        <v>4867361</v>
      </c>
      <c r="F25" s="275"/>
      <c r="G25" s="275"/>
      <c r="H25" s="275"/>
      <c r="I25" s="275">
        <f>J25+K25+L25+M25</f>
        <v>4986306.898234235</v>
      </c>
      <c r="J25" s="275">
        <f>'[8]г.Павлодар 2021'!$EM$2997+'[8]г.Павлодар 2021'!$EM$2742+'[8]г.Павлодар 2021'!$EM$2532+'[9]г.Павлодар 2021'!$DF$3096+'[9]г.Павлодар 2021'!$DF$2832+'[9]г.Павлодар 2021'!$DF$2613</f>
        <v>4986306.898234235</v>
      </c>
      <c r="K25" s="275">
        <v>0</v>
      </c>
      <c r="L25" s="275">
        <v>0</v>
      </c>
      <c r="M25" s="275">
        <v>0</v>
      </c>
      <c r="N25" s="341">
        <f>I25/D25-1</f>
        <v>0.024437451472006044</v>
      </c>
      <c r="O25" s="299" t="s">
        <v>302</v>
      </c>
      <c r="Q25" s="1"/>
    </row>
    <row r="26" spans="1:17" ht="18.75">
      <c r="A26" s="291" t="s">
        <v>18</v>
      </c>
      <c r="B26" s="293" t="s">
        <v>303</v>
      </c>
      <c r="C26" s="298" t="s">
        <v>15</v>
      </c>
      <c r="D26" s="276">
        <f aca="true" t="shared" si="2" ref="D26:M26">D28+D32+D37+D42+D38</f>
        <v>165376.63999999998</v>
      </c>
      <c r="E26" s="276">
        <f t="shared" si="2"/>
        <v>151129.22807303266</v>
      </c>
      <c r="F26" s="276">
        <f t="shared" si="2"/>
        <v>131.02567209390384</v>
      </c>
      <c r="G26" s="276">
        <f t="shared" si="2"/>
        <v>13449.042058801533</v>
      </c>
      <c r="H26" s="276">
        <f t="shared" si="2"/>
        <v>665.8442434512187</v>
      </c>
      <c r="I26" s="276">
        <f t="shared" si="2"/>
        <v>291355.1974480533</v>
      </c>
      <c r="J26" s="276">
        <f t="shared" si="2"/>
        <v>262815.81128106924</v>
      </c>
      <c r="K26" s="276">
        <f t="shared" si="2"/>
        <v>134.79453863282413</v>
      </c>
      <c r="L26" s="276">
        <f t="shared" si="2"/>
        <v>27105.24430520291</v>
      </c>
      <c r="M26" s="276">
        <f t="shared" si="2"/>
        <v>1299.347323148211</v>
      </c>
      <c r="N26" s="341">
        <f>I26/D26-1</f>
        <v>0.7617675473879097</v>
      </c>
      <c r="O26" s="342"/>
      <c r="Q26" s="1"/>
    </row>
    <row r="27" spans="1:17" ht="18.75">
      <c r="A27" s="295"/>
      <c r="B27" s="296" t="s">
        <v>143</v>
      </c>
      <c r="C27" s="297" t="s">
        <v>15</v>
      </c>
      <c r="D27" s="280"/>
      <c r="E27" s="280"/>
      <c r="F27" s="280"/>
      <c r="G27" s="280"/>
      <c r="H27" s="280"/>
      <c r="I27" s="280"/>
      <c r="J27" s="280"/>
      <c r="K27" s="280"/>
      <c r="L27" s="280"/>
      <c r="M27" s="280"/>
      <c r="N27" s="341"/>
      <c r="O27" s="342"/>
      <c r="Q27" s="1"/>
    </row>
    <row r="28" spans="1:17" ht="18.75">
      <c r="A28" s="380">
        <v>2</v>
      </c>
      <c r="B28" s="293" t="s">
        <v>304</v>
      </c>
      <c r="C28" s="298" t="s">
        <v>15</v>
      </c>
      <c r="D28" s="276">
        <f aca="true" t="shared" si="3" ref="D28:M28">D30+D31</f>
        <v>4956.9</v>
      </c>
      <c r="E28" s="276">
        <f t="shared" si="3"/>
        <v>4529.454592833876</v>
      </c>
      <c r="F28" s="276">
        <f t="shared" si="3"/>
        <v>4</v>
      </c>
      <c r="G28" s="276">
        <f t="shared" si="3"/>
        <v>403</v>
      </c>
      <c r="H28" s="276">
        <f t="shared" si="3"/>
        <v>20</v>
      </c>
      <c r="I28" s="276">
        <f t="shared" si="3"/>
        <v>9014.40912986544</v>
      </c>
      <c r="J28" s="276">
        <f t="shared" si="3"/>
        <v>8131.41234285846</v>
      </c>
      <c r="K28" s="276">
        <f t="shared" si="3"/>
        <v>4.170487193468972</v>
      </c>
      <c r="L28" s="276">
        <f t="shared" si="3"/>
        <v>838.6250318243187</v>
      </c>
      <c r="M28" s="276">
        <f t="shared" si="3"/>
        <v>40.2012679891931</v>
      </c>
      <c r="N28" s="341">
        <f>I28/D28-1</f>
        <v>0.8185577941587365</v>
      </c>
      <c r="O28" s="342"/>
      <c r="Q28" s="1"/>
    </row>
    <row r="29" spans="1:17" ht="18.75">
      <c r="A29" s="380"/>
      <c r="B29" s="296" t="s">
        <v>295</v>
      </c>
      <c r="C29" s="297" t="s">
        <v>15</v>
      </c>
      <c r="D29" s="344"/>
      <c r="E29" s="345"/>
      <c r="F29" s="345"/>
      <c r="G29" s="345"/>
      <c r="H29" s="345"/>
      <c r="I29" s="344"/>
      <c r="J29" s="345"/>
      <c r="K29" s="345"/>
      <c r="L29" s="345"/>
      <c r="M29" s="345"/>
      <c r="N29" s="341"/>
      <c r="O29" s="342"/>
      <c r="Q29" s="1"/>
    </row>
    <row r="30" spans="1:17" ht="94.5">
      <c r="A30" s="295" t="s">
        <v>2</v>
      </c>
      <c r="B30" s="296" t="s">
        <v>305</v>
      </c>
      <c r="C30" s="297" t="s">
        <v>15</v>
      </c>
      <c r="D30" s="275">
        <v>4954</v>
      </c>
      <c r="E30" s="275">
        <f>'[7]Проект с коррет. 2021 '!$K$22</f>
        <v>4526.554592833876</v>
      </c>
      <c r="F30" s="275">
        <v>4</v>
      </c>
      <c r="G30" s="275">
        <v>403</v>
      </c>
      <c r="H30" s="275">
        <v>20</v>
      </c>
      <c r="I30" s="275">
        <f>'[10]исполнение тар.сметы-правда '!$DA$22</f>
        <v>8966.95302986544</v>
      </c>
      <c r="J30" s="275">
        <f>I30*J68/100</f>
        <v>8088.604754282803</v>
      </c>
      <c r="K30" s="275">
        <f>I30*K68/100</f>
        <v>4.148531782476335</v>
      </c>
      <c r="L30" s="275">
        <f>I30*L68/100</f>
        <v>834.2101142407686</v>
      </c>
      <c r="M30" s="275">
        <f>I30*M68/100</f>
        <v>39.989629559392824</v>
      </c>
      <c r="N30" s="341">
        <f>I30/D30-1</f>
        <v>0.8100430015876949</v>
      </c>
      <c r="O30" s="299" t="s">
        <v>306</v>
      </c>
      <c r="Q30" s="1"/>
    </row>
    <row r="31" spans="1:17" ht="31.5">
      <c r="A31" s="295" t="s">
        <v>3</v>
      </c>
      <c r="B31" s="296" t="s">
        <v>307</v>
      </c>
      <c r="C31" s="297" t="s">
        <v>15</v>
      </c>
      <c r="D31" s="275">
        <f>E31+F31+G31+H31</f>
        <v>2.9</v>
      </c>
      <c r="E31" s="275">
        <v>2.9</v>
      </c>
      <c r="F31" s="275">
        <v>0</v>
      </c>
      <c r="G31" s="275">
        <v>0</v>
      </c>
      <c r="H31" s="275">
        <v>0</v>
      </c>
      <c r="I31" s="275">
        <f>'[10]исполнение тар.сметы-правда '!$DA$23</f>
        <v>47.4561</v>
      </c>
      <c r="J31" s="275">
        <f>I31*J68/100</f>
        <v>42.80758857565693</v>
      </c>
      <c r="K31" s="275">
        <f>I31*K68/100</f>
        <v>0.02195541099263787</v>
      </c>
      <c r="L31" s="275">
        <f>I31*L68/100</f>
        <v>4.414917583550163</v>
      </c>
      <c r="M31" s="275">
        <f>I31*M68/100</f>
        <v>0.2116384298002707</v>
      </c>
      <c r="N31" s="341">
        <f>I31/D31-1</f>
        <v>15.364172413793103</v>
      </c>
      <c r="O31" s="296" t="s">
        <v>308</v>
      </c>
      <c r="Q31" s="1"/>
    </row>
    <row r="32" spans="1:17" ht="15.75">
      <c r="A32" s="380">
        <v>3</v>
      </c>
      <c r="B32" s="74" t="s">
        <v>158</v>
      </c>
      <c r="C32" s="297" t="s">
        <v>15</v>
      </c>
      <c r="D32" s="276">
        <f>D34+D35+D36</f>
        <v>119047.23999999999</v>
      </c>
      <c r="E32" s="276">
        <f>E34+E35+E36-1</f>
        <v>108790.53999999998</v>
      </c>
      <c r="F32" s="276">
        <f aca="true" t="shared" si="4" ref="F32:M32">F34+F35+F36</f>
        <v>94.9</v>
      </c>
      <c r="G32" s="276">
        <f t="shared" si="4"/>
        <v>9680.9</v>
      </c>
      <c r="H32" s="276">
        <f t="shared" si="4"/>
        <v>479.9</v>
      </c>
      <c r="I32" s="276">
        <f t="shared" si="4"/>
        <v>220597.396167895</v>
      </c>
      <c r="J32" s="276">
        <f t="shared" si="4"/>
        <v>198989.01460542367</v>
      </c>
      <c r="K32" s="276">
        <f t="shared" si="4"/>
        <v>102.05867099849952</v>
      </c>
      <c r="L32" s="276">
        <f t="shared" si="4"/>
        <v>20522.531839468917</v>
      </c>
      <c r="M32" s="276">
        <f t="shared" si="4"/>
        <v>983.7910520038846</v>
      </c>
      <c r="N32" s="341">
        <f>I32/D32-1</f>
        <v>0.8530240278388228</v>
      </c>
      <c r="O32" s="370" t="s">
        <v>309</v>
      </c>
      <c r="Q32" s="1"/>
    </row>
    <row r="33" spans="1:17" ht="14.25" customHeight="1">
      <c r="A33" s="380"/>
      <c r="B33" s="296" t="s">
        <v>143</v>
      </c>
      <c r="C33" s="297"/>
      <c r="D33" s="344"/>
      <c r="E33" s="345"/>
      <c r="F33" s="345"/>
      <c r="G33" s="345"/>
      <c r="H33" s="345"/>
      <c r="I33" s="344"/>
      <c r="J33" s="345"/>
      <c r="K33" s="345"/>
      <c r="L33" s="345"/>
      <c r="M33" s="345"/>
      <c r="N33" s="341"/>
      <c r="O33" s="371"/>
      <c r="Q33" s="1"/>
    </row>
    <row r="34" spans="1:17" ht="105" customHeight="1">
      <c r="A34" s="295" t="s">
        <v>22</v>
      </c>
      <c r="B34" s="296" t="s">
        <v>158</v>
      </c>
      <c r="C34" s="297" t="s">
        <v>15</v>
      </c>
      <c r="D34" s="275">
        <f>E34+F34+G34+H34</f>
        <v>107686.18</v>
      </c>
      <c r="E34" s="275">
        <f>'[7]Проект с коррет. 2021 '!$K$26</f>
        <v>98409.18</v>
      </c>
      <c r="F34" s="275">
        <v>86</v>
      </c>
      <c r="G34" s="275">
        <v>8757</v>
      </c>
      <c r="H34" s="275">
        <v>434</v>
      </c>
      <c r="I34" s="278">
        <f>'[10]исполнение тар.сметы-правда '!$DA$26</f>
        <v>201226.6958518059</v>
      </c>
      <c r="J34" s="275">
        <f>I34*J68/100</f>
        <v>181515.75048229747</v>
      </c>
      <c r="K34" s="275">
        <f>I34*K68/100</f>
        <v>93.09687922347047</v>
      </c>
      <c r="L34" s="275">
        <f>I34*L68/100</f>
        <v>18720.444322138534</v>
      </c>
      <c r="M34" s="275">
        <f>I34*M68/100</f>
        <v>897.4041681464099</v>
      </c>
      <c r="N34" s="341">
        <f>I34/D34-1</f>
        <v>0.8686399299502121</v>
      </c>
      <c r="O34" s="371"/>
      <c r="Q34" s="1"/>
    </row>
    <row r="35" spans="1:17" ht="15.75" customHeight="1">
      <c r="A35" s="295" t="s">
        <v>24</v>
      </c>
      <c r="B35" s="296" t="s">
        <v>310</v>
      </c>
      <c r="C35" s="297" t="s">
        <v>15</v>
      </c>
      <c r="D35" s="275">
        <f>E35+F35+G35+H35</f>
        <v>9206.88</v>
      </c>
      <c r="E35" s="275">
        <f>'[7]Проект с коррет. 2021 '!$K$27</f>
        <v>8414.18</v>
      </c>
      <c r="F35" s="275">
        <v>6.9</v>
      </c>
      <c r="G35" s="275">
        <v>748.9</v>
      </c>
      <c r="H35" s="275">
        <v>36.9</v>
      </c>
      <c r="I35" s="275">
        <f>'[10]исполнение тар.сметы-правда '!$DA$27</f>
        <v>15273.291696689088</v>
      </c>
      <c r="J35" s="275">
        <f>I35*J68/100</f>
        <v>13777.21277449819</v>
      </c>
      <c r="K35" s="275">
        <f>I35*K68/100</f>
        <v>7.0661389454938845</v>
      </c>
      <c r="L35" s="275">
        <f>I35*L68/100</f>
        <v>1420.898979697096</v>
      </c>
      <c r="M35" s="275">
        <f>I35*M68/100</f>
        <v>68.11380354830656</v>
      </c>
      <c r="N35" s="341">
        <f>I35/D35-1</f>
        <v>0.6588998332430844</v>
      </c>
      <c r="O35" s="371"/>
      <c r="Q35" s="1"/>
    </row>
    <row r="36" spans="1:15" s="216" customFormat="1" ht="15.75" customHeight="1">
      <c r="A36" s="295" t="s">
        <v>115</v>
      </c>
      <c r="B36" s="296" t="s">
        <v>163</v>
      </c>
      <c r="C36" s="301" t="s">
        <v>15</v>
      </c>
      <c r="D36" s="275">
        <f>E36+F36+G36+H36</f>
        <v>2154.1800000000003</v>
      </c>
      <c r="E36" s="275">
        <f>'[7]Проект с коррет. 2021 '!$K$28</f>
        <v>1968.18</v>
      </c>
      <c r="F36" s="275">
        <v>2</v>
      </c>
      <c r="G36" s="275">
        <v>175</v>
      </c>
      <c r="H36" s="275">
        <v>9</v>
      </c>
      <c r="I36" s="275">
        <f>'[10]исполнение тар.сметы-правда '!$DA$28</f>
        <v>4097.4086194</v>
      </c>
      <c r="J36" s="275">
        <f>I36*J68/100</f>
        <v>3696.051348628009</v>
      </c>
      <c r="K36" s="275">
        <f>I36*K68/100</f>
        <v>1.895652829535169</v>
      </c>
      <c r="L36" s="275">
        <f>I36*L68/100</f>
        <v>381.1885376332876</v>
      </c>
      <c r="M36" s="275">
        <f>I36*M68/100</f>
        <v>18.273080309168073</v>
      </c>
      <c r="N36" s="341">
        <f>I36/D36-1</f>
        <v>0.9020734661913117</v>
      </c>
      <c r="O36" s="372"/>
    </row>
    <row r="37" spans="1:17" ht="94.5">
      <c r="A37" s="291">
        <v>4</v>
      </c>
      <c r="B37" s="293" t="s">
        <v>25</v>
      </c>
      <c r="C37" s="297" t="s">
        <v>15</v>
      </c>
      <c r="D37" s="276">
        <f>E37+F37+G37+H37</f>
        <v>6822</v>
      </c>
      <c r="E37" s="276">
        <v>6234</v>
      </c>
      <c r="F37" s="276">
        <v>6</v>
      </c>
      <c r="G37" s="276">
        <v>555</v>
      </c>
      <c r="H37" s="276">
        <v>27</v>
      </c>
      <c r="I37" s="276">
        <f>'[10]исполнение тар.сметы-правда '!$DA$29</f>
        <v>11996.248023126807</v>
      </c>
      <c r="J37" s="276">
        <f>I37*J68/100</f>
        <v>10821.168402493042</v>
      </c>
      <c r="K37" s="276">
        <f>I37*K68/100</f>
        <v>5.550025301644438</v>
      </c>
      <c r="L37" s="276">
        <f>I37*L68/100</f>
        <v>1116.0303171548321</v>
      </c>
      <c r="M37" s="276">
        <f>I37*M68/100</f>
        <v>53.499278177287195</v>
      </c>
      <c r="N37" s="341">
        <f>I37/D37-1</f>
        <v>0.7584649696755801</v>
      </c>
      <c r="O37" s="299" t="s">
        <v>311</v>
      </c>
      <c r="Q37" s="1"/>
    </row>
    <row r="38" spans="1:17" ht="18.75">
      <c r="A38" s="380">
        <v>5</v>
      </c>
      <c r="B38" s="293" t="s">
        <v>312</v>
      </c>
      <c r="C38" s="298" t="s">
        <v>15</v>
      </c>
      <c r="D38" s="276">
        <f>D40+D41</f>
        <v>8322</v>
      </c>
      <c r="E38" s="276">
        <f>E40+E41</f>
        <v>7606</v>
      </c>
      <c r="F38" s="276">
        <f>F40+F41</f>
        <v>6</v>
      </c>
      <c r="G38" s="276">
        <f>G40+G41</f>
        <v>677</v>
      </c>
      <c r="H38" s="276">
        <f>H40+H41</f>
        <v>33</v>
      </c>
      <c r="I38" s="276">
        <f>SUM(J38:M38)</f>
        <v>13413.538095300002</v>
      </c>
      <c r="J38" s="276">
        <f>J40+J41</f>
        <v>12099.629344330937</v>
      </c>
      <c r="K38" s="276">
        <f>K40+K41</f>
        <v>6.205729964066084</v>
      </c>
      <c r="L38" s="276">
        <f>L40+L41</f>
        <v>1247.8831002665606</v>
      </c>
      <c r="M38" s="276">
        <f>M40+M41</f>
        <v>59.81992073843839</v>
      </c>
      <c r="N38" s="341">
        <f>I38/D38-1</f>
        <v>0.6118166420692144</v>
      </c>
      <c r="O38" s="342"/>
      <c r="Q38" s="1"/>
    </row>
    <row r="39" spans="1:17" ht="14.25" customHeight="1">
      <c r="A39" s="380"/>
      <c r="B39" s="296" t="s">
        <v>313</v>
      </c>
      <c r="C39" s="297" t="s">
        <v>15</v>
      </c>
      <c r="D39" s="275"/>
      <c r="E39" s="275"/>
      <c r="F39" s="275"/>
      <c r="G39" s="275"/>
      <c r="H39" s="275"/>
      <c r="I39" s="275"/>
      <c r="J39" s="275"/>
      <c r="K39" s="275"/>
      <c r="L39" s="275"/>
      <c r="M39" s="275"/>
      <c r="N39" s="341"/>
      <c r="O39" s="342"/>
      <c r="Q39" s="1"/>
    </row>
    <row r="40" spans="1:17" ht="63">
      <c r="A40" s="295" t="s">
        <v>26</v>
      </c>
      <c r="B40" s="296" t="s">
        <v>314</v>
      </c>
      <c r="C40" s="297" t="s">
        <v>15</v>
      </c>
      <c r="D40" s="275">
        <f>E40+F40+G40+H40</f>
        <v>7979</v>
      </c>
      <c r="E40" s="275">
        <v>7292</v>
      </c>
      <c r="F40" s="275">
        <v>6</v>
      </c>
      <c r="G40" s="275">
        <v>649</v>
      </c>
      <c r="H40" s="275">
        <v>32</v>
      </c>
      <c r="I40" s="275">
        <f>'ТОО ПЭС г.Павлодар (за 2021г)'!I40</f>
        <v>12088.339103700002</v>
      </c>
      <c r="J40" s="275">
        <f>I40*J68/100</f>
        <v>10904.23879994806</v>
      </c>
      <c r="K40" s="275">
        <f>I40*K68/100</f>
        <v>5.592630941862252</v>
      </c>
      <c r="L40" s="275">
        <f>I40*L68/100</f>
        <v>1124.597699027989</v>
      </c>
      <c r="M40" s="275">
        <f>I40*M68/100</f>
        <v>53.909973782090816</v>
      </c>
      <c r="N40" s="341">
        <f>I40/D40-1</f>
        <v>0.5150193136608601</v>
      </c>
      <c r="O40" s="302" t="s">
        <v>315</v>
      </c>
      <c r="Q40" s="1"/>
    </row>
    <row r="41" spans="1:17" ht="98.25" customHeight="1" outlineLevel="1">
      <c r="A41" s="295" t="s">
        <v>63</v>
      </c>
      <c r="B41" s="296" t="s">
        <v>316</v>
      </c>
      <c r="C41" s="297" t="s">
        <v>15</v>
      </c>
      <c r="D41" s="275">
        <f>E41+F41+G41+H41</f>
        <v>343</v>
      </c>
      <c r="E41" s="275">
        <v>314</v>
      </c>
      <c r="F41" s="275">
        <v>0</v>
      </c>
      <c r="G41" s="275">
        <v>28</v>
      </c>
      <c r="H41" s="275">
        <v>1</v>
      </c>
      <c r="I41" s="275">
        <f>'ТОО ПЭС г.Павлодар (за 2021г)'!I41</f>
        <v>1325.1989916</v>
      </c>
      <c r="J41" s="275">
        <f>I41*J68/100</f>
        <v>1195.390544382877</v>
      </c>
      <c r="K41" s="275">
        <f>I41*K68/100</f>
        <v>0.6130990222038318</v>
      </c>
      <c r="L41" s="275">
        <f>I41*L68/100</f>
        <v>123.28540123857174</v>
      </c>
      <c r="M41" s="275">
        <f>I41*M68/100</f>
        <v>5.909946956347575</v>
      </c>
      <c r="N41" s="341">
        <f>I41/D41-1</f>
        <v>2.8635539113702624</v>
      </c>
      <c r="O41" s="302" t="s">
        <v>317</v>
      </c>
      <c r="Q41" s="1"/>
    </row>
    <row r="42" spans="1:17" ht="24" customHeight="1">
      <c r="A42" s="380">
        <v>6</v>
      </c>
      <c r="B42" s="303" t="s">
        <v>318</v>
      </c>
      <c r="C42" s="298" t="s">
        <v>15</v>
      </c>
      <c r="D42" s="276">
        <f aca="true" t="shared" si="5" ref="D42:M42">D44+D45+D46+D47+D48+D49+D54+D55+D56+D57+D58+D59+D60</f>
        <v>26228.5</v>
      </c>
      <c r="E42" s="276">
        <f t="shared" si="5"/>
        <v>23969.2334801988</v>
      </c>
      <c r="F42" s="276">
        <f t="shared" si="5"/>
        <v>20.125672093903823</v>
      </c>
      <c r="G42" s="276">
        <f t="shared" si="5"/>
        <v>2133.142058801534</v>
      </c>
      <c r="H42" s="276">
        <f t="shared" si="5"/>
        <v>105.94424345121871</v>
      </c>
      <c r="I42" s="276">
        <f t="shared" si="5"/>
        <v>36333.606031865995</v>
      </c>
      <c r="J42" s="276">
        <f t="shared" si="5"/>
        <v>32774.58658596316</v>
      </c>
      <c r="K42" s="276">
        <f t="shared" si="5"/>
        <v>16.809625175145122</v>
      </c>
      <c r="L42" s="276">
        <f t="shared" si="5"/>
        <v>3380.17401648828</v>
      </c>
      <c r="M42" s="276">
        <f t="shared" si="5"/>
        <v>162.03580423940787</v>
      </c>
      <c r="N42" s="341">
        <f>I42/D42-1</f>
        <v>0.38527197635648225</v>
      </c>
      <c r="O42" s="342"/>
      <c r="Q42" s="1"/>
    </row>
    <row r="43" spans="1:17" ht="14.25" customHeight="1">
      <c r="A43" s="380"/>
      <c r="B43" s="296" t="s">
        <v>143</v>
      </c>
      <c r="C43" s="297" t="s">
        <v>15</v>
      </c>
      <c r="D43" s="281"/>
      <c r="E43" s="281"/>
      <c r="F43" s="281"/>
      <c r="G43" s="281"/>
      <c r="H43" s="281"/>
      <c r="I43" s="281"/>
      <c r="J43" s="281"/>
      <c r="K43" s="281"/>
      <c r="L43" s="281"/>
      <c r="M43" s="281"/>
      <c r="N43" s="341"/>
      <c r="O43" s="342"/>
      <c r="Q43" s="1"/>
    </row>
    <row r="44" spans="1:17" ht="31.5">
      <c r="A44" s="295" t="s">
        <v>29</v>
      </c>
      <c r="B44" s="296" t="s">
        <v>319</v>
      </c>
      <c r="C44" s="297" t="s">
        <v>15</v>
      </c>
      <c r="D44" s="275">
        <v>15</v>
      </c>
      <c r="E44" s="275">
        <f>'[7]Проект с коррет. 2021 '!$K$36</f>
        <v>13.745454545454546</v>
      </c>
      <c r="F44" s="275">
        <f>D44*Y44</f>
        <v>0</v>
      </c>
      <c r="G44" s="275">
        <f>'[7]Проект с коррет. 2021 '!$M$36</f>
        <v>1.2</v>
      </c>
      <c r="H44" s="275">
        <f>D44*AA44</f>
        <v>0</v>
      </c>
      <c r="I44" s="275">
        <f>'[10]исполнение тар.сметы-правда '!$DA$36</f>
        <v>44.1838803</v>
      </c>
      <c r="J44" s="275">
        <f>I44*J68/100</f>
        <v>39.85589565005285</v>
      </c>
      <c r="K44" s="275">
        <f>I44*K68/100</f>
        <v>0.020441529144536022</v>
      </c>
      <c r="L44" s="275">
        <f>I44*L68/100</f>
        <v>4.110497703054942</v>
      </c>
      <c r="M44" s="275">
        <f>I44*M68/100</f>
        <v>0.19704541774766812</v>
      </c>
      <c r="N44" s="341">
        <f aca="true" t="shared" si="6" ref="N44:N49">I44/D44-1</f>
        <v>1.9455920199999999</v>
      </c>
      <c r="O44" s="302" t="s">
        <v>320</v>
      </c>
      <c r="Q44" s="1"/>
    </row>
    <row r="45" spans="1:17" ht="33.75" customHeight="1">
      <c r="A45" s="295" t="s">
        <v>30</v>
      </c>
      <c r="B45" s="296" t="s">
        <v>321</v>
      </c>
      <c r="C45" s="297" t="s">
        <v>15</v>
      </c>
      <c r="D45" s="275">
        <f>E45+F45+G45+H45</f>
        <v>1909.8000000000002</v>
      </c>
      <c r="E45" s="275">
        <v>1744.9</v>
      </c>
      <c r="F45" s="275">
        <v>1.9</v>
      </c>
      <c r="G45" s="275">
        <v>155</v>
      </c>
      <c r="H45" s="275">
        <v>8</v>
      </c>
      <c r="I45" s="275">
        <f>'[10]исполнение тар.сметы-правда '!$DA$37</f>
        <v>2860.288684434</v>
      </c>
      <c r="J45" s="275">
        <f>I45*J68/100</f>
        <v>2580.1121712668696</v>
      </c>
      <c r="K45" s="275">
        <f>I45*K68/100</f>
        <v>1.3233032976654204</v>
      </c>
      <c r="L45" s="275">
        <f>I45*L68/100</f>
        <v>266.0972732048615</v>
      </c>
      <c r="M45" s="275">
        <f>I45*M68/100</f>
        <v>12.755936664603576</v>
      </c>
      <c r="N45" s="341">
        <f t="shared" si="6"/>
        <v>0.49769016883129114</v>
      </c>
      <c r="O45" s="304" t="s">
        <v>322</v>
      </c>
      <c r="Q45" s="1"/>
    </row>
    <row r="46" spans="1:17" ht="63">
      <c r="A46" s="295" t="s">
        <v>32</v>
      </c>
      <c r="B46" s="346" t="s">
        <v>323</v>
      </c>
      <c r="C46" s="297" t="s">
        <v>15</v>
      </c>
      <c r="D46" s="275">
        <f>E46+F46+G46+H46</f>
        <v>1412.9</v>
      </c>
      <c r="E46" s="275">
        <v>1290.9</v>
      </c>
      <c r="F46" s="275">
        <v>1</v>
      </c>
      <c r="G46" s="275">
        <v>115</v>
      </c>
      <c r="H46" s="275">
        <v>6</v>
      </c>
      <c r="I46" s="275">
        <f>'[10]исполнение тар.сметы-правда '!$DA$38</f>
        <v>2156.352276789</v>
      </c>
      <c r="J46" s="275">
        <f>I46*J68/100</f>
        <v>1945.1291001360119</v>
      </c>
      <c r="K46" s="275">
        <f>I46*K68/100</f>
        <v>0.9976293981556198</v>
      </c>
      <c r="L46" s="275">
        <f>I46*L68/100</f>
        <v>200.60893295328069</v>
      </c>
      <c r="M46" s="275">
        <f>I46*M68/100</f>
        <v>9.616614301551595</v>
      </c>
      <c r="N46" s="341">
        <f t="shared" si="6"/>
        <v>0.5261888858298533</v>
      </c>
      <c r="O46" s="300" t="s">
        <v>324</v>
      </c>
      <c r="Q46" s="1"/>
    </row>
    <row r="47" spans="1:17" ht="63">
      <c r="A47" s="305" t="s">
        <v>34</v>
      </c>
      <c r="B47" s="296" t="s">
        <v>174</v>
      </c>
      <c r="C47" s="297" t="s">
        <v>15</v>
      </c>
      <c r="D47" s="275">
        <f>E47+F47+G47+H47</f>
        <v>5172.9</v>
      </c>
      <c r="E47" s="275">
        <v>4726.9</v>
      </c>
      <c r="F47" s="275">
        <v>4</v>
      </c>
      <c r="G47" s="275">
        <v>421</v>
      </c>
      <c r="H47" s="275">
        <v>21</v>
      </c>
      <c r="I47" s="275">
        <f>'[10]исполнение тар.сметы-правда '!$DA$39</f>
        <v>8266.493236133</v>
      </c>
      <c r="J47" s="275">
        <f>I47*J68/100</f>
        <v>7456.757749074033</v>
      </c>
      <c r="K47" s="275">
        <f>I47*K68/100</f>
        <v>3.824466327135206</v>
      </c>
      <c r="L47" s="275">
        <f>I47*L68/100</f>
        <v>769.0452089931972</v>
      </c>
      <c r="M47" s="275">
        <f>I47*M68/100</f>
        <v>36.8658117386331</v>
      </c>
      <c r="N47" s="341">
        <f t="shared" si="6"/>
        <v>0.5980384767022366</v>
      </c>
      <c r="O47" s="296" t="s">
        <v>325</v>
      </c>
      <c r="Q47" s="1"/>
    </row>
    <row r="48" spans="1:17" ht="63">
      <c r="A48" s="295" t="s">
        <v>35</v>
      </c>
      <c r="B48" s="296" t="s">
        <v>326</v>
      </c>
      <c r="C48" s="297" t="s">
        <v>15</v>
      </c>
      <c r="D48" s="275">
        <f>E48+F48+G48+H48</f>
        <v>4695.9</v>
      </c>
      <c r="E48" s="275">
        <v>4290.9</v>
      </c>
      <c r="F48" s="275">
        <v>4</v>
      </c>
      <c r="G48" s="275">
        <v>382</v>
      </c>
      <c r="H48" s="275">
        <v>19</v>
      </c>
      <c r="I48" s="275">
        <f>'[10]исполнение тар.сметы-правда '!$DA$40</f>
        <v>6705.947277179999</v>
      </c>
      <c r="J48" s="275">
        <f>I48*J68/100</f>
        <v>6049.073397341295</v>
      </c>
      <c r="K48" s="275">
        <f>I48*K68/100</f>
        <v>3.1024847925861536</v>
      </c>
      <c r="L48" s="275">
        <f>I48*L68/100</f>
        <v>623.8650995000077</v>
      </c>
      <c r="M48" s="275">
        <f>I48*M68/100</f>
        <v>29.906295546110524</v>
      </c>
      <c r="N48" s="341">
        <f t="shared" si="6"/>
        <v>0.4280430326838305</v>
      </c>
      <c r="O48" s="296" t="s">
        <v>327</v>
      </c>
      <c r="P48" s="6"/>
      <c r="Q48" s="6"/>
    </row>
    <row r="49" spans="1:17" ht="18.75" customHeight="1">
      <c r="A49" s="381" t="s">
        <v>36</v>
      </c>
      <c r="B49" s="296" t="s">
        <v>328</v>
      </c>
      <c r="C49" s="297" t="s">
        <v>15</v>
      </c>
      <c r="D49" s="275">
        <f>E49+F49+G49+H49</f>
        <v>621</v>
      </c>
      <c r="E49" s="275">
        <v>569</v>
      </c>
      <c r="F49" s="275">
        <v>0</v>
      </c>
      <c r="G49" s="275">
        <v>50</v>
      </c>
      <c r="H49" s="275">
        <v>2</v>
      </c>
      <c r="I49" s="275">
        <f>I51+I52+I53</f>
        <v>810.6135884</v>
      </c>
      <c r="J49" s="275">
        <f>J51+J52+J53</f>
        <v>731.2108029539745</v>
      </c>
      <c r="K49" s="275">
        <f>K51+K52+K53</f>
        <v>0.3750277517440116</v>
      </c>
      <c r="L49" s="275">
        <f>L51+L52+L53</f>
        <v>75.41269056858557</v>
      </c>
      <c r="M49" s="275">
        <f>M51+M52+M53</f>
        <v>3.6150671256959366</v>
      </c>
      <c r="N49" s="341">
        <f t="shared" si="6"/>
        <v>0.3053358911433173</v>
      </c>
      <c r="O49" s="300"/>
      <c r="Q49" s="1"/>
    </row>
    <row r="50" spans="1:17" ht="15" customHeight="1">
      <c r="A50" s="381"/>
      <c r="B50" s="296" t="s">
        <v>143</v>
      </c>
      <c r="C50" s="297" t="s">
        <v>15</v>
      </c>
      <c r="D50" s="344"/>
      <c r="E50" s="344"/>
      <c r="F50" s="344"/>
      <c r="G50" s="344"/>
      <c r="H50" s="344"/>
      <c r="I50" s="344"/>
      <c r="J50" s="344"/>
      <c r="K50" s="344"/>
      <c r="L50" s="344"/>
      <c r="M50" s="344"/>
      <c r="N50" s="341"/>
      <c r="O50" s="347"/>
      <c r="Q50" s="1"/>
    </row>
    <row r="51" spans="1:17" ht="15.75">
      <c r="A51" s="381"/>
      <c r="B51" s="307" t="s">
        <v>329</v>
      </c>
      <c r="C51" s="297" t="s">
        <v>15</v>
      </c>
      <c r="D51" s="275">
        <f>E51+F51+G51+H51</f>
        <v>9.9</v>
      </c>
      <c r="E51" s="275">
        <v>8.9</v>
      </c>
      <c r="F51" s="275">
        <v>0</v>
      </c>
      <c r="G51" s="275">
        <v>1</v>
      </c>
      <c r="H51" s="275">
        <v>0</v>
      </c>
      <c r="I51" s="275">
        <f>'[10]исполнение тар.сметы-правда '!$DA$43</f>
        <v>9.79067</v>
      </c>
      <c r="J51" s="275">
        <f>I51*J68/100</f>
        <v>8.83163541125434</v>
      </c>
      <c r="K51" s="275">
        <f>I51*K68/100</f>
        <v>0.004529621771348464</v>
      </c>
      <c r="L51" s="275">
        <f>I51*L68/100</f>
        <v>0.910841833562747</v>
      </c>
      <c r="M51" s="275">
        <f>I51*M68/100</f>
        <v>0.04366313341156598</v>
      </c>
      <c r="N51" s="341">
        <f aca="true" t="shared" si="7" ref="N51:N61">I51/D51-1</f>
        <v>-0.011043434343434355</v>
      </c>
      <c r="O51" s="296" t="s">
        <v>330</v>
      </c>
      <c r="Q51" s="1"/>
    </row>
    <row r="52" spans="1:17" ht="51.75" customHeight="1">
      <c r="A52" s="381"/>
      <c r="B52" s="307" t="s">
        <v>331</v>
      </c>
      <c r="C52" s="297" t="s">
        <v>15</v>
      </c>
      <c r="D52" s="275">
        <f>E52+F52+G52+H52</f>
        <v>90.9</v>
      </c>
      <c r="E52" s="275">
        <v>83.9</v>
      </c>
      <c r="F52" s="275">
        <v>0</v>
      </c>
      <c r="G52" s="275">
        <v>7</v>
      </c>
      <c r="H52" s="275">
        <v>0</v>
      </c>
      <c r="I52" s="275">
        <f>'[10]исполнение тар.сметы-правда '!$DA$44</f>
        <v>145.18384980000002</v>
      </c>
      <c r="J52" s="275">
        <f>I52*J68/100</f>
        <v>130.96252136328886</v>
      </c>
      <c r="K52" s="275">
        <f>I52*K68/100</f>
        <v>0.06716883797556912</v>
      </c>
      <c r="L52" s="275">
        <f>I52*L68/100</f>
        <v>13.506687893221859</v>
      </c>
      <c r="M52" s="275">
        <f>I52*M68/100</f>
        <v>0.6474717055137347</v>
      </c>
      <c r="N52" s="341">
        <f t="shared" si="7"/>
        <v>0.5971820660066007</v>
      </c>
      <c r="O52" s="308" t="s">
        <v>332</v>
      </c>
      <c r="Q52" s="1"/>
    </row>
    <row r="53" spans="1:17" ht="51" customHeight="1">
      <c r="A53" s="381"/>
      <c r="B53" s="307" t="s">
        <v>333</v>
      </c>
      <c r="C53" s="297" t="s">
        <v>15</v>
      </c>
      <c r="D53" s="275">
        <f>E53+F53+G53+H53</f>
        <v>519.9</v>
      </c>
      <c r="E53" s="275">
        <v>475.9</v>
      </c>
      <c r="F53" s="275">
        <v>0</v>
      </c>
      <c r="G53" s="275">
        <v>42</v>
      </c>
      <c r="H53" s="275">
        <v>2</v>
      </c>
      <c r="I53" s="275">
        <f>'[10]исполнение тар.сметы-правда '!$DA$45</f>
        <v>655.6390686</v>
      </c>
      <c r="J53" s="275">
        <f>I53*J68/100</f>
        <v>591.4166461794313</v>
      </c>
      <c r="K53" s="275">
        <f>I53*K68/100</f>
        <v>0.303329291997094</v>
      </c>
      <c r="L53" s="275">
        <f>I53*L68/100</f>
        <v>60.995160841800974</v>
      </c>
      <c r="M53" s="275">
        <f>I53*M68/100</f>
        <v>2.923932286770636</v>
      </c>
      <c r="N53" s="341">
        <f t="shared" si="7"/>
        <v>0.2610868793998846</v>
      </c>
      <c r="O53" s="288" t="s">
        <v>334</v>
      </c>
      <c r="Q53" s="1"/>
    </row>
    <row r="54" spans="1:17" ht="47.25">
      <c r="A54" s="295" t="s">
        <v>39</v>
      </c>
      <c r="B54" s="296" t="s">
        <v>335</v>
      </c>
      <c r="C54" s="297" t="s">
        <v>15</v>
      </c>
      <c r="D54" s="275">
        <v>11075</v>
      </c>
      <c r="E54" s="275">
        <f>'[7]Проект с коррет. 2021 '!$K$46</f>
        <v>10120.562287012495</v>
      </c>
      <c r="F54" s="275">
        <f>'[7]Проект с коррет. 2021 '!$L$46</f>
        <v>9.225672093903825</v>
      </c>
      <c r="G54" s="275">
        <f>'[7]Проект с коррет. 2021 '!$M$46</f>
        <v>900.7610753502461</v>
      </c>
      <c r="H54" s="275">
        <f>'[7]Проект с коррет. 2021 '!$N$46</f>
        <v>44.45096554335479</v>
      </c>
      <c r="I54" s="275">
        <f>'[10]исполнение тар.сметы-правда '!$DA$46</f>
        <v>11706.2878016</v>
      </c>
      <c r="J54" s="275">
        <f>I54*J68/100</f>
        <v>10559.610923761627</v>
      </c>
      <c r="K54" s="275">
        <f>I54*K68/100</f>
        <v>5.415876144104367</v>
      </c>
      <c r="L54" s="275">
        <f>I54*L68/100</f>
        <v>1089.054849711262</v>
      </c>
      <c r="M54" s="275">
        <f>I54*M68/100</f>
        <v>52.206151983005064</v>
      </c>
      <c r="N54" s="341">
        <f t="shared" si="7"/>
        <v>0.057001155900677114</v>
      </c>
      <c r="O54" s="296" t="s">
        <v>336</v>
      </c>
      <c r="Q54" s="1"/>
    </row>
    <row r="55" spans="1:17" ht="49.5" customHeight="1">
      <c r="A55" s="295" t="s">
        <v>41</v>
      </c>
      <c r="B55" s="346" t="s">
        <v>337</v>
      </c>
      <c r="C55" s="297" t="s">
        <v>15</v>
      </c>
      <c r="D55" s="275">
        <v>362</v>
      </c>
      <c r="E55" s="275">
        <f>'[7]Проект с коррет. 2021 '!$K$47</f>
        <v>330.7277486910995</v>
      </c>
      <c r="F55" s="275">
        <f>D55*Y55</f>
        <v>0</v>
      </c>
      <c r="G55" s="275">
        <f>'[7]Проект с коррет. 2021 '!$M$47</f>
        <v>29.376963350785342</v>
      </c>
      <c r="H55" s="275">
        <f>'[7]Проект с коррет. 2021 '!$N$47</f>
        <v>1.8952879581151834</v>
      </c>
      <c r="I55" s="275">
        <f>'[10]исполнение тар.сметы-правда '!$DA$47</f>
        <v>413.88866599999994</v>
      </c>
      <c r="J55" s="275">
        <f>I55*J68/100</f>
        <v>373.34664522064566</v>
      </c>
      <c r="K55" s="275">
        <f>I55*K68/100</f>
        <v>0.19148425107045508</v>
      </c>
      <c r="L55" s="275">
        <f>I55*L68/100</f>
        <v>38.504730670146095</v>
      </c>
      <c r="M55" s="275">
        <f>I55*M68/100</f>
        <v>1.8458058581377035</v>
      </c>
      <c r="N55" s="341">
        <f t="shared" si="7"/>
        <v>0.14333885635359112</v>
      </c>
      <c r="O55" s="309" t="s">
        <v>338</v>
      </c>
      <c r="Q55" s="1"/>
    </row>
    <row r="56" spans="1:17" ht="97.5" customHeight="1">
      <c r="A56" s="295" t="s">
        <v>62</v>
      </c>
      <c r="B56" s="296" t="s">
        <v>339</v>
      </c>
      <c r="C56" s="297" t="s">
        <v>15</v>
      </c>
      <c r="D56" s="275">
        <v>9</v>
      </c>
      <c r="E56" s="275">
        <f>'[7]Проект с коррет. 2021 '!$K$48</f>
        <v>8</v>
      </c>
      <c r="F56" s="275">
        <f>D56*Y56</f>
        <v>0</v>
      </c>
      <c r="G56" s="275">
        <f>'[7]Проект с коррет. 2021 '!$M$48</f>
        <v>1</v>
      </c>
      <c r="H56" s="275">
        <f>D56*AA56</f>
        <v>0</v>
      </c>
      <c r="I56" s="275">
        <f>'[10]исполнение тар.сметы-правда '!$DA$48</f>
        <v>1286.5192661</v>
      </c>
      <c r="J56" s="275">
        <f>I56*J68/100</f>
        <v>1160.4996499473175</v>
      </c>
      <c r="K56" s="275">
        <f>I56*K68/100</f>
        <v>0.5952039724539595</v>
      </c>
      <c r="L56" s="275">
        <f>I56*L68/100</f>
        <v>119.68696394100951</v>
      </c>
      <c r="M56" s="275">
        <f>I56*M68/100</f>
        <v>5.737448239218997</v>
      </c>
      <c r="N56" s="341">
        <f t="shared" si="7"/>
        <v>141.94658512222225</v>
      </c>
      <c r="O56" s="304" t="s">
        <v>340</v>
      </c>
      <c r="Q56" s="1"/>
    </row>
    <row r="57" spans="1:17" ht="84" customHeight="1">
      <c r="A57" s="295" t="s">
        <v>44</v>
      </c>
      <c r="B57" s="296" t="s">
        <v>341</v>
      </c>
      <c r="C57" s="297" t="s">
        <v>15</v>
      </c>
      <c r="D57" s="275">
        <f>E57+F57+G57+H57</f>
        <v>61</v>
      </c>
      <c r="E57" s="278">
        <v>56</v>
      </c>
      <c r="F57" s="278">
        <v>0</v>
      </c>
      <c r="G57" s="278">
        <v>5</v>
      </c>
      <c r="H57" s="278">
        <v>0</v>
      </c>
      <c r="I57" s="275">
        <f>'[10]исполнение тар.сметы-правда '!$DA$49</f>
        <v>230.5003304</v>
      </c>
      <c r="J57" s="275">
        <f>I57*J68/100</f>
        <v>207.9219175262229</v>
      </c>
      <c r="K57" s="275">
        <f>I57*K68/100</f>
        <v>0.10664023145329728</v>
      </c>
      <c r="L57" s="275">
        <f>I57*L68/100</f>
        <v>21.443817795754015</v>
      </c>
      <c r="M57" s="275">
        <f>I57*M68/100</f>
        <v>1.0279548465697688</v>
      </c>
      <c r="N57" s="341">
        <f t="shared" si="7"/>
        <v>2.7786939409836067</v>
      </c>
      <c r="O57" s="310" t="s">
        <v>342</v>
      </c>
      <c r="Q57" s="1"/>
    </row>
    <row r="58" spans="1:17" ht="63">
      <c r="A58" s="295" t="s">
        <v>58</v>
      </c>
      <c r="B58" s="296" t="s">
        <v>343</v>
      </c>
      <c r="C58" s="297" t="s">
        <v>15</v>
      </c>
      <c r="D58" s="275">
        <v>261</v>
      </c>
      <c r="E58" s="278">
        <f>'[7]Проект с коррет. 2021 '!$K$50</f>
        <v>239</v>
      </c>
      <c r="F58" s="278">
        <f>D58*Y58</f>
        <v>0</v>
      </c>
      <c r="G58" s="278">
        <f>'[7]Проект с коррет. 2021 '!$M$50</f>
        <v>21</v>
      </c>
      <c r="H58" s="278">
        <f>'[7]Проект с коррет. 2021 '!$N$50</f>
        <v>1</v>
      </c>
      <c r="I58" s="275">
        <f>'[10]исполнение тар.сметы-правда '!$DA$50</f>
        <v>620.6707091999999</v>
      </c>
      <c r="J58" s="275">
        <f>I58*J68/100</f>
        <v>559.8735749544273</v>
      </c>
      <c r="K58" s="275">
        <f>I58*K68/100</f>
        <v>0.2871512937552395</v>
      </c>
      <c r="L58" s="275">
        <f>I58*L68/100</f>
        <v>57.7419979231675</v>
      </c>
      <c r="M58" s="275">
        <f>I58*M68/100</f>
        <v>2.7679850286498136</v>
      </c>
      <c r="N58" s="341">
        <f t="shared" si="7"/>
        <v>1.3780486942528731</v>
      </c>
      <c r="O58" s="310" t="s">
        <v>344</v>
      </c>
      <c r="Q58" s="1"/>
    </row>
    <row r="59" spans="1:17" ht="63">
      <c r="A59" s="295" t="s">
        <v>46</v>
      </c>
      <c r="B59" s="346" t="s">
        <v>345</v>
      </c>
      <c r="C59" s="297" t="s">
        <v>15</v>
      </c>
      <c r="D59" s="275">
        <f>E59+F59+G59+H59</f>
        <v>501.9</v>
      </c>
      <c r="E59" s="278">
        <v>459</v>
      </c>
      <c r="F59" s="278">
        <v>0</v>
      </c>
      <c r="G59" s="278">
        <v>40.9</v>
      </c>
      <c r="H59" s="278">
        <v>2</v>
      </c>
      <c r="I59" s="275">
        <f>'[10]исполнение тар.сметы-правда '!$DA$51</f>
        <v>1101.3246</v>
      </c>
      <c r="J59" s="275">
        <f>I59*J68/100</f>
        <v>993.4455289214649</v>
      </c>
      <c r="K59" s="275">
        <f>I59*K68/100</f>
        <v>0.5095242598802368</v>
      </c>
      <c r="L59" s="275">
        <f>I59*L68/100</f>
        <v>102.4580052245412</v>
      </c>
      <c r="M59" s="275">
        <f>I59*M68/100</f>
        <v>4.911541594113532</v>
      </c>
      <c r="N59" s="341">
        <f t="shared" si="7"/>
        <v>1.1943108188882245</v>
      </c>
      <c r="O59" s="310" t="s">
        <v>346</v>
      </c>
      <c r="Q59" s="1"/>
    </row>
    <row r="60" spans="1:17" ht="18.75">
      <c r="A60" s="295" t="s">
        <v>235</v>
      </c>
      <c r="B60" s="346" t="s">
        <v>337</v>
      </c>
      <c r="C60" s="297" t="s">
        <v>15</v>
      </c>
      <c r="D60" s="275">
        <f>E60+F60+G60+H60</f>
        <v>131.10000000000002</v>
      </c>
      <c r="E60" s="278">
        <v>119.59798994974875</v>
      </c>
      <c r="F60" s="278">
        <v>0</v>
      </c>
      <c r="G60" s="278">
        <f>'[7]Проект с коррет. 2021 '!$M$52</f>
        <v>10.90402010050251</v>
      </c>
      <c r="H60" s="278">
        <v>0.5979899497487438</v>
      </c>
      <c r="I60" s="275">
        <f>'[10]исполнение тар.сметы-правда '!$DA$52</f>
        <v>130.53571533000002</v>
      </c>
      <c r="J60" s="275">
        <f>I60*J68/100</f>
        <v>117.74922920922101</v>
      </c>
      <c r="K60" s="275">
        <f>I60*K68/100</f>
        <v>0.06039192599661856</v>
      </c>
      <c r="L60" s="275">
        <f>I60*L68/100</f>
        <v>12.143948299411784</v>
      </c>
      <c r="M60" s="275">
        <f>I60*M68/100</f>
        <v>0.5821458953705916</v>
      </c>
      <c r="N60" s="341">
        <f t="shared" si="7"/>
        <v>-0.0043042308924485795</v>
      </c>
      <c r="O60" s="310" t="s">
        <v>347</v>
      </c>
      <c r="Q60" s="1"/>
    </row>
    <row r="61" spans="1:17" ht="15.75">
      <c r="A61" s="273" t="s">
        <v>47</v>
      </c>
      <c r="B61" s="293" t="s">
        <v>348</v>
      </c>
      <c r="C61" s="298" t="s">
        <v>15</v>
      </c>
      <c r="D61" s="311">
        <f>SUM(E61:H61)</f>
        <v>8700308.14004738</v>
      </c>
      <c r="E61" s="311">
        <f>E26+E20+2</f>
        <v>7677771.228073033</v>
      </c>
      <c r="F61" s="311">
        <f>F26+F20</f>
        <v>2528.0256720939037</v>
      </c>
      <c r="G61" s="311">
        <f>G26+G20</f>
        <v>1007740.0420588015</v>
      </c>
      <c r="H61" s="311">
        <f>H26+H20</f>
        <v>12268.844243451218</v>
      </c>
      <c r="I61" s="311">
        <f>I18+I26</f>
        <v>9345985.698547449</v>
      </c>
      <c r="J61" s="311">
        <f>J18+J26</f>
        <v>8124812.618596464</v>
      </c>
      <c r="K61" s="311">
        <f>K18+K26</f>
        <v>1572.5324426328243</v>
      </c>
      <c r="L61" s="311">
        <f>L18+L26</f>
        <v>1203888.2867052031</v>
      </c>
      <c r="M61" s="311">
        <f>M18+M26</f>
        <v>15712.26080314821</v>
      </c>
      <c r="N61" s="341">
        <f t="shared" si="7"/>
        <v>0.07421318280993106</v>
      </c>
      <c r="O61" s="348"/>
      <c r="Q61" s="1"/>
    </row>
    <row r="62" spans="1:17" ht="162.75" customHeight="1">
      <c r="A62" s="273" t="s">
        <v>48</v>
      </c>
      <c r="B62" s="293" t="s">
        <v>349</v>
      </c>
      <c r="C62" s="298" t="s">
        <v>15</v>
      </c>
      <c r="D62" s="311">
        <v>0</v>
      </c>
      <c r="E62" s="311">
        <v>0</v>
      </c>
      <c r="F62" s="311">
        <v>0</v>
      </c>
      <c r="G62" s="311">
        <v>0</v>
      </c>
      <c r="H62" s="311">
        <v>0</v>
      </c>
      <c r="I62" s="311">
        <f>I65-I61</f>
        <v>329611.5536353942</v>
      </c>
      <c r="J62" s="311">
        <f>I62*J68/100</f>
        <v>297324.8070913335</v>
      </c>
      <c r="K62" s="311">
        <f>I62*K68/100</f>
        <v>152.4937179411494</v>
      </c>
      <c r="L62" s="311">
        <f>I62*L68/100</f>
        <v>30664.294872233273</v>
      </c>
      <c r="M62" s="311">
        <f>I62*M68/100</f>
        <v>1469.9579538862768</v>
      </c>
      <c r="N62" s="341"/>
      <c r="O62" s="300" t="s">
        <v>350</v>
      </c>
      <c r="Q62" s="1"/>
    </row>
    <row r="63" spans="1:17" ht="30.75" customHeight="1">
      <c r="A63" s="273" t="s">
        <v>50</v>
      </c>
      <c r="B63" s="293" t="s">
        <v>351</v>
      </c>
      <c r="C63" s="298" t="s">
        <v>15</v>
      </c>
      <c r="D63" s="278">
        <f>SUM(E63:H63)+1</f>
        <v>39022</v>
      </c>
      <c r="E63" s="278">
        <v>35660</v>
      </c>
      <c r="F63" s="278">
        <v>31</v>
      </c>
      <c r="G63" s="278">
        <v>3173</v>
      </c>
      <c r="H63" s="278">
        <v>157</v>
      </c>
      <c r="I63" s="278">
        <f>'[12]ОС'!$E$20</f>
        <v>99577.3494977</v>
      </c>
      <c r="J63" s="278">
        <f>I63*J68/100</f>
        <v>89823.35692886561</v>
      </c>
      <c r="K63" s="278">
        <f>I63*K68/100</f>
        <v>46.06913829369766</v>
      </c>
      <c r="L63" s="278">
        <f>I63*L68/100</f>
        <v>9263.841555052262</v>
      </c>
      <c r="M63" s="278">
        <f>I63*M68/100</f>
        <v>444.0818754884198</v>
      </c>
      <c r="N63" s="341">
        <f>I63/D63-1</f>
        <v>1.5518258802137255</v>
      </c>
      <c r="O63" s="296"/>
      <c r="Q63" s="1"/>
    </row>
    <row r="64" spans="1:17" ht="31.5">
      <c r="A64" s="273" t="s">
        <v>52</v>
      </c>
      <c r="B64" s="313" t="s">
        <v>352</v>
      </c>
      <c r="C64" s="298" t="s">
        <v>15</v>
      </c>
      <c r="D64" s="278">
        <f>E64</f>
        <v>512632</v>
      </c>
      <c r="E64" s="278">
        <v>512632</v>
      </c>
      <c r="F64" s="278"/>
      <c r="G64" s="278"/>
      <c r="H64" s="278"/>
      <c r="I64" s="278">
        <f>J64</f>
        <v>-617972.1173895821</v>
      </c>
      <c r="J64" s="278">
        <f>'[11]г.Павлодар 2021 год'!$CW$1441</f>
        <v>-617972.1173895821</v>
      </c>
      <c r="K64" s="278"/>
      <c r="L64" s="278"/>
      <c r="M64" s="278"/>
      <c r="N64" s="341">
        <f>I64/D64-1</f>
        <v>-2.20548876658028</v>
      </c>
      <c r="O64" s="296" t="s">
        <v>353</v>
      </c>
      <c r="P64" s="349"/>
      <c r="Q64" s="1"/>
    </row>
    <row r="65" spans="1:17" ht="24" customHeight="1">
      <c r="A65" s="273" t="s">
        <v>53</v>
      </c>
      <c r="B65" s="293" t="s">
        <v>354</v>
      </c>
      <c r="C65" s="298" t="s">
        <v>15</v>
      </c>
      <c r="D65" s="311">
        <f>D62+D61+D64</f>
        <v>9212940.14004738</v>
      </c>
      <c r="E65" s="311">
        <f>E62+E61+E64</f>
        <v>8190403.228073033</v>
      </c>
      <c r="F65" s="311">
        <f>F62+F61</f>
        <v>2528.0256720939037</v>
      </c>
      <c r="G65" s="311">
        <f>G62+G61</f>
        <v>1007740.0420588015</v>
      </c>
      <c r="H65" s="311">
        <f>H62+H61</f>
        <v>12268.844243451218</v>
      </c>
      <c r="I65" s="311">
        <f>SUM(J65:M65)</f>
        <v>9675597.252182843</v>
      </c>
      <c r="J65" s="311">
        <f>'[8]г.Павлодар 2021'!$EG$2997+'[8]г.Павлодар 2021'!$EG$2742+'[8]г.Павлодар 2021'!$EG$2532+'[9]г.Павлодар 2021'!$CZ$3096+'[9]г.Павлодар 2021'!$CZ$2832+'[9]г.Павлодар 2021'!$CZ$2613</f>
        <v>8466205.972104844</v>
      </c>
      <c r="K65" s="311">
        <f>'[9]г.Павлодар 2021'!$CZ$879</f>
        <v>1516.0714079999998</v>
      </c>
      <c r="L65" s="311">
        <f>'[8]г.Павлодар 2021'!$EG$3295+'[9]г.Павлодар 2021'!$CZ$3403</f>
        <v>1192699.6977</v>
      </c>
      <c r="M65" s="311">
        <f>'[8]г.Павлодар 2021'!$EG$2505+'[9]г.Павлодар 2021'!$CZ$2586</f>
        <v>15175.510970000001</v>
      </c>
      <c r="N65" s="341">
        <f>I65/D65-1</f>
        <v>0.0502181828061985</v>
      </c>
      <c r="O65" s="296" t="s">
        <v>330</v>
      </c>
      <c r="Q65" s="1"/>
    </row>
    <row r="66" spans="1:17" ht="32.25" customHeight="1">
      <c r="A66" s="273" t="s">
        <v>60</v>
      </c>
      <c r="B66" s="293" t="s">
        <v>355</v>
      </c>
      <c r="C66" s="298" t="s">
        <v>55</v>
      </c>
      <c r="D66" s="314">
        <f>E66+F66+G66+H66</f>
        <v>2596.1510000000003</v>
      </c>
      <c r="E66" s="314">
        <v>2372.494</v>
      </c>
      <c r="F66" s="314">
        <v>2.072</v>
      </c>
      <c r="G66" s="314">
        <v>211.12</v>
      </c>
      <c r="H66" s="314">
        <v>10.465</v>
      </c>
      <c r="I66" s="314">
        <f>SUM(J66:M66)</f>
        <v>2685.8504211000004</v>
      </c>
      <c r="J66" s="314">
        <f>'[8]г.Павлодар 2021'!$EG$2530+'[8]г.Павлодар 2021'!$EG$2740+'[8]г.Павлодар 2021'!$EG$2995+'[9]г.Павлодар 2021'!$CZ$2611+'[9]г.Павлодар 2021'!$CZ$2830+'[9]г.Павлодар 2021'!$CZ$3094</f>
        <v>2422.7608211</v>
      </c>
      <c r="K66" s="314">
        <f>'[9]г.Павлодар 2021'!$CZ$877</f>
        <v>1.2426</v>
      </c>
      <c r="L66" s="314">
        <f>'[8]г.Павлодар 2021'!$EG$3293+'[9]г.Павлодар 2021'!$CZ$3401</f>
        <v>249.86900000000003</v>
      </c>
      <c r="M66" s="314">
        <f>'[8]г.Павлодар 2021'!$EG$2503+'[9]г.Павлодар 2021'!$CZ$2584</f>
        <v>11.978</v>
      </c>
      <c r="N66" s="341">
        <f>I66/D66-1</f>
        <v>0.034550926005459726</v>
      </c>
      <c r="O66" s="296" t="s">
        <v>330</v>
      </c>
      <c r="Q66" s="1"/>
    </row>
    <row r="67" spans="1:17" ht="40.5" customHeight="1">
      <c r="A67" s="273" t="s">
        <v>75</v>
      </c>
      <c r="B67" s="293" t="s">
        <v>356</v>
      </c>
      <c r="C67" s="298" t="s">
        <v>61</v>
      </c>
      <c r="D67" s="350"/>
      <c r="E67" s="316">
        <f>E65/E66</f>
        <v>3452.2334842882774</v>
      </c>
      <c r="F67" s="316">
        <f>F65/F66-0.01</f>
        <v>1220.0796100839304</v>
      </c>
      <c r="G67" s="316">
        <f>G65/G66</f>
        <v>4773.304481142485</v>
      </c>
      <c r="H67" s="316">
        <f>H65/H66+0.01</f>
        <v>1172.3792540326056</v>
      </c>
      <c r="I67" s="350"/>
      <c r="J67" s="316">
        <f>J65/J66</f>
        <v>3494.4456334162414</v>
      </c>
      <c r="K67" s="316">
        <f>K65/K66</f>
        <v>1220.08</v>
      </c>
      <c r="L67" s="316">
        <f>L65/L66</f>
        <v>4773.299999999999</v>
      </c>
      <c r="M67" s="316">
        <f>M65/M66</f>
        <v>1266.9486533645018</v>
      </c>
      <c r="N67" s="341">
        <f>J67/E67-1</f>
        <v>0.01222748962956266</v>
      </c>
      <c r="O67" s="342"/>
      <c r="Q67" s="1"/>
    </row>
    <row r="68" spans="1:15" s="352" customFormat="1" ht="18.75" hidden="1">
      <c r="A68" s="273"/>
      <c r="B68" s="317" t="s">
        <v>71</v>
      </c>
      <c r="C68" s="317"/>
      <c r="D68" s="351"/>
      <c r="E68" s="351"/>
      <c r="F68" s="351"/>
      <c r="G68" s="351"/>
      <c r="H68" s="351"/>
      <c r="I68" s="319">
        <f>SUM(J68:M68)</f>
        <v>100</v>
      </c>
      <c r="J68" s="320">
        <f>J66/I66*100</f>
        <v>90.20460715410016</v>
      </c>
      <c r="K68" s="320">
        <f>K66/I66*100</f>
        <v>0.04626467617995973</v>
      </c>
      <c r="L68" s="320">
        <f>L66/I66*100</f>
        <v>9.303161413496184</v>
      </c>
      <c r="M68" s="320">
        <f>M66/I66*100</f>
        <v>0.4459667562236903</v>
      </c>
      <c r="N68" s="341" t="e">
        <f>I68/D68-1</f>
        <v>#DIV/0!</v>
      </c>
      <c r="O68" s="342"/>
    </row>
    <row r="69" spans="1:17" ht="31.5">
      <c r="A69" s="273"/>
      <c r="B69" s="321" t="s">
        <v>357</v>
      </c>
      <c r="C69" s="298" t="s">
        <v>55</v>
      </c>
      <c r="D69" s="284"/>
      <c r="E69" s="284">
        <v>2372.494</v>
      </c>
      <c r="F69" s="353"/>
      <c r="G69" s="353"/>
      <c r="H69" s="353"/>
      <c r="I69" s="284"/>
      <c r="J69" s="284">
        <f>J71+J72+J73</f>
        <v>2422.7608211</v>
      </c>
      <c r="K69" s="354"/>
      <c r="L69" s="354"/>
      <c r="M69" s="354"/>
      <c r="N69" s="341">
        <f>J69/E69-1</f>
        <v>0.021187333287249643</v>
      </c>
      <c r="O69" s="296" t="s">
        <v>330</v>
      </c>
      <c r="Q69" s="1"/>
    </row>
    <row r="70" spans="1:17" ht="18.75">
      <c r="A70" s="273"/>
      <c r="B70" s="322" t="s">
        <v>295</v>
      </c>
      <c r="C70" s="323"/>
      <c r="D70" s="353"/>
      <c r="E70" s="353"/>
      <c r="F70" s="353"/>
      <c r="G70" s="353"/>
      <c r="H70" s="353"/>
      <c r="I70" s="353"/>
      <c r="J70" s="353"/>
      <c r="K70" s="354"/>
      <c r="L70" s="354"/>
      <c r="M70" s="354"/>
      <c r="N70" s="341"/>
      <c r="O70" s="342"/>
      <c r="Q70" s="1"/>
    </row>
    <row r="71" spans="1:17" ht="18.75">
      <c r="A71" s="273"/>
      <c r="B71" s="302" t="s">
        <v>358</v>
      </c>
      <c r="C71" s="298" t="s">
        <v>15</v>
      </c>
      <c r="D71" s="286"/>
      <c r="E71" s="286">
        <v>1517.21</v>
      </c>
      <c r="F71" s="353"/>
      <c r="G71" s="353"/>
      <c r="H71" s="353"/>
      <c r="I71" s="286"/>
      <c r="J71" s="286">
        <f>'[8]г.Павлодар 2021'!$EG$2530+'[9]г.Павлодар 2021'!$CZ$2611</f>
        <v>1524.3181162</v>
      </c>
      <c r="K71" s="354"/>
      <c r="L71" s="354"/>
      <c r="M71" s="354"/>
      <c r="N71" s="341">
        <f>J71/E71-1</f>
        <v>0.004684991662327498</v>
      </c>
      <c r="O71" s="310" t="s">
        <v>359</v>
      </c>
      <c r="Q71" s="1"/>
    </row>
    <row r="72" spans="1:17" ht="141.75">
      <c r="A72" s="274"/>
      <c r="B72" s="296" t="s">
        <v>360</v>
      </c>
      <c r="C72" s="298" t="s">
        <v>15</v>
      </c>
      <c r="D72" s="286"/>
      <c r="E72" s="286">
        <v>573.702</v>
      </c>
      <c r="F72" s="353"/>
      <c r="G72" s="353"/>
      <c r="H72" s="353"/>
      <c r="I72" s="286"/>
      <c r="J72" s="286">
        <f>'[8]г.Павлодар 2021'!$EG$2740+'[9]г.Павлодар 2021'!$CZ$2830</f>
        <v>619.3904947</v>
      </c>
      <c r="K72" s="354"/>
      <c r="L72" s="354"/>
      <c r="M72" s="354"/>
      <c r="N72" s="341">
        <f>J72/E72-1</f>
        <v>0.07963802583919866</v>
      </c>
      <c r="O72" s="296" t="s">
        <v>361</v>
      </c>
      <c r="Q72" s="1"/>
    </row>
    <row r="73" spans="1:17" ht="18.75">
      <c r="A73" s="274"/>
      <c r="B73" s="302" t="s">
        <v>362</v>
      </c>
      <c r="C73" s="298" t="s">
        <v>15</v>
      </c>
      <c r="D73" s="286"/>
      <c r="E73" s="286">
        <v>281.58200000000005</v>
      </c>
      <c r="F73" s="353"/>
      <c r="G73" s="353"/>
      <c r="H73" s="353"/>
      <c r="I73" s="286"/>
      <c r="J73" s="286">
        <f>'[8]г.Павлодар 2021'!$EG$2995+'[9]г.Павлодар 2021'!$CZ$3094</f>
        <v>279.0522102</v>
      </c>
      <c r="K73" s="354"/>
      <c r="L73" s="354"/>
      <c r="M73" s="354"/>
      <c r="N73" s="341">
        <f>J73/E73-1</f>
        <v>-0.00898420282546486</v>
      </c>
      <c r="O73" s="296" t="s">
        <v>363</v>
      </c>
      <c r="Q73" s="1"/>
    </row>
    <row r="74" spans="1:15" s="147" customFormat="1" ht="15.75">
      <c r="A74" s="378" t="s">
        <v>76</v>
      </c>
      <c r="B74" s="324" t="s">
        <v>356</v>
      </c>
      <c r="C74" s="379" t="s">
        <v>61</v>
      </c>
      <c r="D74" s="280"/>
      <c r="E74" s="280"/>
      <c r="F74" s="280"/>
      <c r="G74" s="280"/>
      <c r="H74" s="280"/>
      <c r="I74" s="280"/>
      <c r="J74" s="280"/>
      <c r="K74" s="280"/>
      <c r="L74" s="280"/>
      <c r="M74" s="280"/>
      <c r="N74" s="355"/>
      <c r="O74" s="348"/>
    </row>
    <row r="75" spans="1:15" s="147" customFormat="1" ht="31.5">
      <c r="A75" s="378"/>
      <c r="B75" s="310" t="s">
        <v>364</v>
      </c>
      <c r="C75" s="379"/>
      <c r="D75" s="353"/>
      <c r="E75" s="287">
        <v>1830.87</v>
      </c>
      <c r="F75" s="353"/>
      <c r="G75" s="353"/>
      <c r="H75" s="353"/>
      <c r="I75" s="353"/>
      <c r="J75" s="287">
        <f>'[11]г.Павлодар 2021 год'!$CU$11</f>
        <v>1853.2813811693773</v>
      </c>
      <c r="K75" s="354"/>
      <c r="L75" s="354"/>
      <c r="M75" s="354"/>
      <c r="N75" s="356">
        <f aca="true" t="shared" si="8" ref="N75:N83">J75/E75-1</f>
        <v>0.012240836962415402</v>
      </c>
      <c r="O75" s="373" t="s">
        <v>365</v>
      </c>
    </row>
    <row r="76" spans="1:15" s="147" customFormat="1" ht="31.5">
      <c r="A76" s="378"/>
      <c r="B76" s="310" t="s">
        <v>364</v>
      </c>
      <c r="C76" s="379"/>
      <c r="D76" s="353"/>
      <c r="E76" s="287">
        <v>2808.66</v>
      </c>
      <c r="F76" s="353"/>
      <c r="G76" s="353"/>
      <c r="H76" s="353"/>
      <c r="I76" s="353"/>
      <c r="J76" s="287">
        <f>'[11]г.Павлодар 2021 год'!$CU$230</f>
        <v>2797.73502159825</v>
      </c>
      <c r="K76" s="354"/>
      <c r="L76" s="354"/>
      <c r="M76" s="354"/>
      <c r="N76" s="357">
        <f t="shared" si="8"/>
        <v>-0.003889747567078161</v>
      </c>
      <c r="O76" s="374"/>
    </row>
    <row r="77" spans="1:15" s="147" customFormat="1" ht="63">
      <c r="A77" s="378"/>
      <c r="B77" s="310" t="s">
        <v>366</v>
      </c>
      <c r="C77" s="379"/>
      <c r="D77" s="353"/>
      <c r="E77" s="287">
        <v>2340.55</v>
      </c>
      <c r="F77" s="353"/>
      <c r="G77" s="353"/>
      <c r="H77" s="353"/>
      <c r="I77" s="353"/>
      <c r="J77" s="287">
        <v>2425.62</v>
      </c>
      <c r="K77" s="354"/>
      <c r="L77" s="354"/>
      <c r="M77" s="354"/>
      <c r="N77" s="356">
        <f t="shared" si="8"/>
        <v>0.03634615795432694</v>
      </c>
      <c r="O77" s="374"/>
    </row>
    <row r="78" spans="1:15" s="147" customFormat="1" ht="31.5">
      <c r="A78" s="378"/>
      <c r="B78" s="310" t="s">
        <v>367</v>
      </c>
      <c r="C78" s="379"/>
      <c r="D78" s="353"/>
      <c r="E78" s="287">
        <v>5642.97</v>
      </c>
      <c r="F78" s="353"/>
      <c r="G78" s="353"/>
      <c r="H78" s="353"/>
      <c r="I78" s="353"/>
      <c r="J78" s="287">
        <f>'[11]г.Павлодар 2021 год'!$CU$908</f>
        <v>5505.764015656875</v>
      </c>
      <c r="K78" s="354"/>
      <c r="L78" s="354"/>
      <c r="M78" s="354"/>
      <c r="N78" s="356">
        <f t="shared" si="8"/>
        <v>-0.024314498277170582</v>
      </c>
      <c r="O78" s="374"/>
    </row>
    <row r="79" spans="1:15" s="147" customFormat="1" ht="31.5">
      <c r="A79" s="378"/>
      <c r="B79" s="310" t="s">
        <v>368</v>
      </c>
      <c r="C79" s="379"/>
      <c r="D79" s="353"/>
      <c r="E79" s="287">
        <v>7443.68</v>
      </c>
      <c r="F79" s="353"/>
      <c r="G79" s="353"/>
      <c r="H79" s="353"/>
      <c r="I79" s="353"/>
      <c r="J79" s="287">
        <f>'[11]г.Павлодар 2021 год'!$CU$1146</f>
        <v>8366.979956571802</v>
      </c>
      <c r="K79" s="354"/>
      <c r="L79" s="354"/>
      <c r="M79" s="354"/>
      <c r="N79" s="356">
        <f t="shared" si="8"/>
        <v>0.12403810434782292</v>
      </c>
      <c r="O79" s="374"/>
    </row>
    <row r="80" spans="1:15" s="147" customFormat="1" ht="63">
      <c r="A80" s="378"/>
      <c r="B80" s="310" t="s">
        <v>369</v>
      </c>
      <c r="C80" s="379"/>
      <c r="D80" s="353"/>
      <c r="E80" s="287">
        <v>5725.91</v>
      </c>
      <c r="F80" s="353"/>
      <c r="G80" s="353"/>
      <c r="H80" s="353"/>
      <c r="I80" s="353"/>
      <c r="J80" s="287">
        <v>5881.19</v>
      </c>
      <c r="K80" s="354"/>
      <c r="L80" s="354"/>
      <c r="M80" s="354"/>
      <c r="N80" s="356">
        <f t="shared" si="8"/>
        <v>0.02711883351292621</v>
      </c>
      <c r="O80" s="374"/>
    </row>
    <row r="81" spans="1:15" s="147" customFormat="1" ht="31.5">
      <c r="A81" s="378"/>
      <c r="B81" s="310" t="s">
        <v>370</v>
      </c>
      <c r="C81" s="379"/>
      <c r="D81" s="353"/>
      <c r="E81" s="287">
        <v>5966.37</v>
      </c>
      <c r="F81" s="353"/>
      <c r="G81" s="353"/>
      <c r="H81" s="353"/>
      <c r="I81" s="353"/>
      <c r="J81" s="287">
        <f>'[11]г.Павлодар 2021 год'!$CU$452</f>
        <v>6033.430977732312</v>
      </c>
      <c r="K81" s="354"/>
      <c r="L81" s="354"/>
      <c r="M81" s="354"/>
      <c r="N81" s="356">
        <f t="shared" si="8"/>
        <v>0.01123982886282815</v>
      </c>
      <c r="O81" s="374"/>
    </row>
    <row r="82" spans="1:15" s="147" customFormat="1" ht="31.5">
      <c r="A82" s="378"/>
      <c r="B82" s="310" t="s">
        <v>371</v>
      </c>
      <c r="C82" s="379"/>
      <c r="D82" s="353"/>
      <c r="E82" s="287">
        <v>9134.8</v>
      </c>
      <c r="F82" s="353"/>
      <c r="G82" s="353"/>
      <c r="H82" s="353"/>
      <c r="I82" s="353"/>
      <c r="J82" s="287">
        <f>'[11]г.Павлодар 2021 год'!$CU$677</f>
        <v>9410.343752979457</v>
      </c>
      <c r="K82" s="354"/>
      <c r="L82" s="354"/>
      <c r="M82" s="354"/>
      <c r="N82" s="356">
        <f t="shared" si="8"/>
        <v>0.03016418016589939</v>
      </c>
      <c r="O82" s="374"/>
    </row>
    <row r="83" spans="1:15" s="147" customFormat="1" ht="63">
      <c r="A83" s="378"/>
      <c r="B83" s="310" t="s">
        <v>372</v>
      </c>
      <c r="C83" s="379"/>
      <c r="D83" s="353"/>
      <c r="E83" s="287">
        <v>6089.87</v>
      </c>
      <c r="F83" s="353"/>
      <c r="G83" s="353"/>
      <c r="H83" s="353"/>
      <c r="I83" s="353"/>
      <c r="J83" s="287">
        <v>6089.87</v>
      </c>
      <c r="K83" s="354"/>
      <c r="L83" s="354"/>
      <c r="M83" s="354"/>
      <c r="N83" s="356">
        <f t="shared" si="8"/>
        <v>0</v>
      </c>
      <c r="O83" s="375"/>
    </row>
    <row r="84" spans="1:18" s="147" customFormat="1" ht="15.75" customHeight="1" hidden="1">
      <c r="A84" s="240"/>
      <c r="B84" s="241" t="s">
        <v>72</v>
      </c>
      <c r="C84" s="242"/>
      <c r="D84" s="243"/>
      <c r="E84" s="243"/>
      <c r="F84" s="243"/>
      <c r="G84" s="244"/>
      <c r="H84" s="244"/>
      <c r="I84" s="1"/>
      <c r="J84" s="1"/>
      <c r="K84" s="1"/>
      <c r="L84" s="1"/>
      <c r="M84" s="1"/>
      <c r="N84" s="358"/>
      <c r="O84" s="244"/>
      <c r="P84" s="359"/>
      <c r="Q84" s="360"/>
      <c r="R84" s="163"/>
    </row>
    <row r="85" spans="1:18" s="147" customFormat="1" ht="15.75" customHeight="1" hidden="1">
      <c r="A85" s="240"/>
      <c r="B85" s="247" t="s">
        <v>85</v>
      </c>
      <c r="C85" s="242" t="s">
        <v>86</v>
      </c>
      <c r="D85" s="337">
        <v>132</v>
      </c>
      <c r="E85" s="337"/>
      <c r="F85" s="337"/>
      <c r="G85" s="337"/>
      <c r="H85" s="337"/>
      <c r="I85" s="1"/>
      <c r="J85" s="1"/>
      <c r="K85" s="1"/>
      <c r="L85" s="1"/>
      <c r="M85" s="1"/>
      <c r="N85" s="337"/>
      <c r="O85" s="337"/>
      <c r="P85" s="361">
        <f>E30/D85-1</f>
        <v>33.292080248741485</v>
      </c>
      <c r="Q85" s="362" t="s">
        <v>97</v>
      </c>
      <c r="R85" s="163"/>
    </row>
    <row r="86" spans="1:18" s="147" customFormat="1" ht="41.25" customHeight="1" hidden="1">
      <c r="A86" s="240"/>
      <c r="B86" s="247" t="s">
        <v>87</v>
      </c>
      <c r="C86" s="242" t="s">
        <v>73</v>
      </c>
      <c r="D86" s="336" t="e">
        <f>#REF!/132/12*1000</f>
        <v>#REF!</v>
      </c>
      <c r="E86" s="336"/>
      <c r="F86" s="336"/>
      <c r="G86" s="336"/>
      <c r="H86" s="336"/>
      <c r="I86" s="1"/>
      <c r="J86" s="1"/>
      <c r="K86" s="1"/>
      <c r="L86" s="1"/>
      <c r="M86" s="1"/>
      <c r="N86" s="336"/>
      <c r="O86" s="336"/>
      <c r="P86" s="361" t="e">
        <f>E31/D86-1</f>
        <v>#REF!</v>
      </c>
      <c r="Q86" s="363"/>
      <c r="R86" s="163"/>
    </row>
    <row r="87" spans="1:18" s="147" customFormat="1" ht="15.75" hidden="1">
      <c r="A87" s="240"/>
      <c r="B87" s="248" t="s">
        <v>88</v>
      </c>
      <c r="C87" s="242" t="s">
        <v>89</v>
      </c>
      <c r="D87" s="243"/>
      <c r="E87" s="243" t="e">
        <f>#REF!/#REF!</f>
        <v>#REF!</v>
      </c>
      <c r="F87" s="243" t="e">
        <f>#REF!/#REF!</f>
        <v>#REF!</v>
      </c>
      <c r="G87" s="243" t="e">
        <f>#REF!/#REF!</f>
        <v>#REF!</v>
      </c>
      <c r="H87" s="243" t="e">
        <f>#REF!/#REF!</f>
        <v>#REF!</v>
      </c>
      <c r="I87" s="1"/>
      <c r="J87" s="1"/>
      <c r="K87" s="1"/>
      <c r="L87" s="1"/>
      <c r="M87" s="1"/>
      <c r="N87" s="364" t="e">
        <f>#REF!/#REF!</f>
        <v>#REF!</v>
      </c>
      <c r="O87" s="243" t="e">
        <f>#REF!/#REF!</f>
        <v>#REF!</v>
      </c>
      <c r="P87" s="359"/>
      <c r="Q87" s="249"/>
      <c r="R87" s="163"/>
    </row>
    <row r="88" spans="1:18" s="147" customFormat="1" ht="15.75">
      <c r="A88" s="165"/>
      <c r="B88" s="165"/>
      <c r="C88" s="7"/>
      <c r="D88" s="165"/>
      <c r="E88" s="165"/>
      <c r="F88" s="165"/>
      <c r="G88" s="7"/>
      <c r="H88" s="165"/>
      <c r="I88" s="1"/>
      <c r="J88" s="1"/>
      <c r="K88" s="1"/>
      <c r="L88" s="1"/>
      <c r="M88" s="1"/>
      <c r="N88" s="332"/>
      <c r="O88" s="166"/>
      <c r="P88" s="165"/>
      <c r="Q88" s="250"/>
      <c r="R88" s="163"/>
    </row>
    <row r="89" spans="1:17" ht="23.25" customHeight="1">
      <c r="A89" s="365"/>
      <c r="B89" s="251"/>
      <c r="C89" s="25"/>
      <c r="D89" s="25"/>
      <c r="E89" s="25"/>
      <c r="F89" s="25"/>
      <c r="G89" s="7"/>
      <c r="H89" s="7"/>
      <c r="N89" s="283"/>
      <c r="Q89" s="252"/>
    </row>
    <row r="90" spans="1:14" ht="15.75">
      <c r="A90" s="25" t="s">
        <v>214</v>
      </c>
      <c r="B90" s="251"/>
      <c r="C90" s="26"/>
      <c r="D90" s="27"/>
      <c r="E90" s="27"/>
      <c r="F90" s="27"/>
      <c r="G90" s="5"/>
      <c r="H90" s="5"/>
      <c r="N90" s="333"/>
    </row>
    <row r="91" spans="1:14" ht="15.75">
      <c r="A91" s="26" t="s">
        <v>215</v>
      </c>
      <c r="B91" s="251"/>
      <c r="C91" s="27"/>
      <c r="D91" s="27"/>
      <c r="E91" s="27"/>
      <c r="F91" s="27"/>
      <c r="H91" s="5"/>
      <c r="N91" s="333"/>
    </row>
    <row r="92" spans="1:14" ht="15.75">
      <c r="A92" s="26" t="s">
        <v>107</v>
      </c>
      <c r="B92" s="251"/>
      <c r="C92" s="26"/>
      <c r="D92" s="27"/>
      <c r="E92" s="27"/>
      <c r="F92" s="27"/>
      <c r="G92" s="5"/>
      <c r="H92" s="5"/>
      <c r="N92" s="333"/>
    </row>
    <row r="93" spans="1:14" ht="15.75">
      <c r="A93" s="26" t="s">
        <v>216</v>
      </c>
      <c r="B93" s="251"/>
      <c r="C93" s="26"/>
      <c r="D93" s="27"/>
      <c r="E93" s="27"/>
      <c r="F93" s="27"/>
      <c r="G93" s="5"/>
      <c r="H93" s="5"/>
      <c r="N93" s="333"/>
    </row>
    <row r="94" spans="1:14" ht="15.75">
      <c r="A94" s="26" t="s">
        <v>373</v>
      </c>
      <c r="B94" s="251"/>
      <c r="C94" s="26"/>
      <c r="D94" s="27"/>
      <c r="E94" s="27"/>
      <c r="F94" s="27"/>
      <c r="G94" s="5"/>
      <c r="H94" s="5"/>
      <c r="N94" s="333"/>
    </row>
    <row r="95" spans="1:14" ht="15.75">
      <c r="A95" s="27" t="s">
        <v>230</v>
      </c>
      <c r="B95" s="366" t="s">
        <v>66</v>
      </c>
      <c r="N95" s="333"/>
    </row>
    <row r="96" spans="1:14" ht="15" customHeight="1">
      <c r="A96" s="26"/>
      <c r="B96" s="27" t="s">
        <v>374</v>
      </c>
      <c r="C96" s="147"/>
      <c r="D96" s="367"/>
      <c r="E96" s="367"/>
      <c r="F96" s="367"/>
      <c r="G96" s="368" t="s">
        <v>375</v>
      </c>
      <c r="H96" s="5"/>
      <c r="M96" s="27" t="s">
        <v>376</v>
      </c>
      <c r="N96" s="333"/>
    </row>
    <row r="97" spans="1:14" ht="15.75">
      <c r="A97" s="26"/>
      <c r="B97" s="251"/>
      <c r="C97" s="26"/>
      <c r="D97" s="27"/>
      <c r="E97" s="27"/>
      <c r="F97" s="27"/>
      <c r="G97" s="5"/>
      <c r="H97" s="5"/>
      <c r="N97" s="333"/>
    </row>
    <row r="98" spans="1:14" ht="15.75">
      <c r="A98" s="26"/>
      <c r="B98" s="26" t="s">
        <v>377</v>
      </c>
      <c r="C98" s="26"/>
      <c r="D98" s="27"/>
      <c r="E98" s="27"/>
      <c r="F98" s="27"/>
      <c r="H98" s="5"/>
      <c r="N98" s="369" t="s">
        <v>116</v>
      </c>
    </row>
    <row r="99" spans="2:16" ht="15.75">
      <c r="B99" s="26" t="s">
        <v>221</v>
      </c>
      <c r="H99" s="5"/>
      <c r="N99" s="333"/>
      <c r="O99" s="5"/>
      <c r="P99" s="5"/>
    </row>
    <row r="100" spans="8:16" ht="15.75">
      <c r="H100" s="5"/>
      <c r="N100" s="333"/>
      <c r="O100" s="5"/>
      <c r="P100" s="5"/>
    </row>
    <row r="101" spans="8:16" ht="15.75">
      <c r="H101" s="5"/>
      <c r="N101" s="333"/>
      <c r="O101" s="5"/>
      <c r="P101" s="5"/>
    </row>
    <row r="102" ht="15" outlineLevel="1"/>
    <row r="103" ht="15" outlineLevel="1"/>
    <row r="104" ht="15" outlineLevel="1"/>
    <row r="105" ht="15" outlineLevel="1"/>
    <row r="106" ht="12.75" customHeight="1" outlineLevel="1"/>
    <row r="107" ht="15" outlineLevel="1"/>
    <row r="108" ht="15" outlineLevel="1"/>
    <row r="109" ht="15" outlineLevel="1"/>
    <row r="110" ht="15" outlineLevel="1"/>
    <row r="111" ht="15" outlineLevel="1"/>
    <row r="112" ht="15" outlineLevel="1"/>
    <row r="113" ht="15" outlineLevel="1"/>
    <row r="114" ht="15" outlineLevel="1"/>
    <row r="115" ht="15" outlineLevel="1"/>
  </sheetData>
  <sheetProtection/>
  <mergeCells count="24">
    <mergeCell ref="B5:O5"/>
    <mergeCell ref="N13:O13"/>
    <mergeCell ref="A14:A16"/>
    <mergeCell ref="B14:B16"/>
    <mergeCell ref="C14:C16"/>
    <mergeCell ref="D14:H14"/>
    <mergeCell ref="I14:M14"/>
    <mergeCell ref="N14:N16"/>
    <mergeCell ref="O14:O16"/>
    <mergeCell ref="D15:D16"/>
    <mergeCell ref="E15:E16"/>
    <mergeCell ref="F15:H15"/>
    <mergeCell ref="I15:I16"/>
    <mergeCell ref="J15:J16"/>
    <mergeCell ref="K15:M15"/>
    <mergeCell ref="A28:A29"/>
    <mergeCell ref="A32:A33"/>
    <mergeCell ref="O32:O36"/>
    <mergeCell ref="A38:A39"/>
    <mergeCell ref="A42:A43"/>
    <mergeCell ref="A49:A53"/>
    <mergeCell ref="A74:A83"/>
    <mergeCell ref="C74:C83"/>
    <mergeCell ref="O75:O83"/>
  </mergeCells>
  <printOptions/>
  <pageMargins left="0" right="0" top="0.1968503937007874" bottom="0.1968503937007874" header="0" footer="0"/>
  <pageSetup fitToHeight="0" horizontalDpi="600" verticalDpi="600" orientation="landscape" paperSize="9" scale="48" r:id="rId3"/>
  <rowBreaks count="1" manualBreakCount="1">
    <brk id="78" max="14" man="1"/>
  </rowBreaks>
  <legacyDrawing r:id="rId2"/>
</worksheet>
</file>

<file path=xl/worksheets/sheet3.xml><?xml version="1.0" encoding="utf-8"?>
<worksheet xmlns="http://schemas.openxmlformats.org/spreadsheetml/2006/main" xmlns:r="http://schemas.openxmlformats.org/officeDocument/2006/relationships">
  <sheetPr>
    <tabColor rgb="FFFF0000"/>
  </sheetPr>
  <dimension ref="A1:Y119"/>
  <sheetViews>
    <sheetView zoomScale="70" zoomScaleNormal="70" zoomScalePageLayoutView="0" workbookViewId="0" topLeftCell="A4">
      <selection activeCell="K30" sqref="K30"/>
    </sheetView>
  </sheetViews>
  <sheetFormatPr defaultColWidth="9.00390625" defaultRowHeight="12.75" outlineLevelRow="1"/>
  <cols>
    <col min="1" max="1" width="8.25390625" style="1" customWidth="1"/>
    <col min="2" max="2" width="58.875" style="1" customWidth="1"/>
    <col min="3" max="3" width="12.625" style="1" customWidth="1"/>
    <col min="4" max="4" width="12.75390625" style="1" bestFit="1" customWidth="1"/>
    <col min="5" max="5" width="11.375" style="1" customWidth="1"/>
    <col min="6" max="6" width="14.125" style="1" customWidth="1"/>
    <col min="7" max="7" width="11.375" style="1" customWidth="1"/>
    <col min="8" max="8" width="9.25390625" style="1" bestFit="1" customWidth="1"/>
    <col min="9" max="9" width="14.00390625" style="1" bestFit="1" customWidth="1"/>
    <col min="10" max="10" width="12.75390625" style="1" customWidth="1"/>
    <col min="11" max="11" width="11.875" style="1" customWidth="1"/>
    <col min="12" max="12" width="11.25390625" style="1" customWidth="1"/>
    <col min="13" max="13" width="9.875" style="1" customWidth="1"/>
    <col min="14" max="14" width="10.75390625" style="1" customWidth="1"/>
    <col min="15" max="15" width="10.625" style="1" customWidth="1"/>
    <col min="16" max="16" width="10.125" style="1" customWidth="1"/>
    <col min="17" max="17" width="11.625" style="1" customWidth="1"/>
    <col min="18" max="18" width="10.375" style="1" customWidth="1"/>
    <col min="19" max="19" width="11.125" style="1" customWidth="1"/>
    <col min="20" max="20" width="10.25390625" style="1" customWidth="1"/>
    <col min="21" max="21" width="9.875" style="1" customWidth="1"/>
    <col min="22" max="22" width="44.00390625" style="253" customWidth="1"/>
    <col min="23" max="16384" width="9.125" style="1" customWidth="1"/>
  </cols>
  <sheetData>
    <row r="1" spans="1:22" ht="15.75">
      <c r="A1" s="13"/>
      <c r="B1" s="13"/>
      <c r="C1" s="13"/>
      <c r="D1" s="13"/>
      <c r="E1" s="14"/>
      <c r="F1" s="14"/>
      <c r="G1" s="14"/>
      <c r="H1" s="14"/>
      <c r="I1" s="14"/>
      <c r="Q1" s="386" t="s">
        <v>98</v>
      </c>
      <c r="R1" s="386"/>
      <c r="S1" s="386"/>
      <c r="T1" s="386"/>
      <c r="U1" s="386"/>
      <c r="V1" s="386"/>
    </row>
    <row r="2" spans="1:22" ht="15.75">
      <c r="A2" s="13"/>
      <c r="B2" s="13"/>
      <c r="C2" s="13"/>
      <c r="D2" s="13"/>
      <c r="E2" s="14"/>
      <c r="F2" s="14"/>
      <c r="G2" s="14"/>
      <c r="H2" s="14"/>
      <c r="I2" s="14"/>
      <c r="Q2" s="386" t="s">
        <v>99</v>
      </c>
      <c r="R2" s="386"/>
      <c r="S2" s="386"/>
      <c r="T2" s="386"/>
      <c r="U2" s="386"/>
      <c r="V2" s="386"/>
    </row>
    <row r="3" spans="1:22" ht="15.75">
      <c r="A3" s="13"/>
      <c r="B3" s="13"/>
      <c r="C3" s="13"/>
      <c r="D3" s="13"/>
      <c r="E3" s="14"/>
      <c r="F3" s="14"/>
      <c r="G3" s="14"/>
      <c r="H3" s="14"/>
      <c r="I3" s="14"/>
      <c r="Q3" s="386" t="s">
        <v>90</v>
      </c>
      <c r="R3" s="386"/>
      <c r="S3" s="386"/>
      <c r="T3" s="386"/>
      <c r="U3" s="386"/>
      <c r="V3" s="386"/>
    </row>
    <row r="4" spans="1:22" ht="15.75">
      <c r="A4" s="14"/>
      <c r="B4" s="14"/>
      <c r="C4" s="14"/>
      <c r="D4" s="15"/>
      <c r="E4" s="15"/>
      <c r="F4" s="15"/>
      <c r="G4" s="15"/>
      <c r="H4" s="15"/>
      <c r="I4" s="15"/>
      <c r="Q4" s="386" t="s">
        <v>92</v>
      </c>
      <c r="R4" s="386"/>
      <c r="S4" s="386"/>
      <c r="T4" s="386"/>
      <c r="U4" s="386"/>
      <c r="V4" s="386"/>
    </row>
    <row r="5" spans="1:22" ht="15.75" outlineLevel="1">
      <c r="A5" s="16"/>
      <c r="B5" s="28"/>
      <c r="C5" s="29"/>
      <c r="D5" s="21"/>
      <c r="E5" s="21"/>
      <c r="F5" s="21"/>
      <c r="G5" s="21"/>
      <c r="H5" s="21"/>
      <c r="I5" s="21"/>
      <c r="P5" s="10"/>
      <c r="Q5" s="387" t="s">
        <v>91</v>
      </c>
      <c r="R5" s="387"/>
      <c r="S5" s="387"/>
      <c r="T5" s="387"/>
      <c r="U5" s="387"/>
      <c r="V5" s="387"/>
    </row>
    <row r="6" spans="1:22" ht="15.75" outlineLevel="1">
      <c r="A6" s="22"/>
      <c r="B6" s="388"/>
      <c r="C6" s="388"/>
      <c r="D6" s="388"/>
      <c r="E6" s="388"/>
      <c r="F6" s="388"/>
      <c r="G6" s="388"/>
      <c r="H6" s="17"/>
      <c r="I6" s="17"/>
      <c r="P6" s="10"/>
      <c r="Q6" s="387" t="s">
        <v>104</v>
      </c>
      <c r="R6" s="387"/>
      <c r="S6" s="387"/>
      <c r="T6" s="387"/>
      <c r="U6" s="387"/>
      <c r="V6" s="387"/>
    </row>
    <row r="7" spans="1:22" ht="15.75" customHeight="1" outlineLevel="1">
      <c r="A7" s="22"/>
      <c r="B7" s="22"/>
      <c r="C7" s="22"/>
      <c r="D7" s="30"/>
      <c r="E7" s="30"/>
      <c r="F7" s="30"/>
      <c r="G7" s="30"/>
      <c r="H7" s="30"/>
      <c r="I7" s="30"/>
      <c r="J7" s="30"/>
      <c r="K7" s="30"/>
      <c r="L7" s="30"/>
      <c r="M7" s="30"/>
      <c r="N7" s="30"/>
      <c r="O7" s="30"/>
      <c r="P7" s="31"/>
      <c r="Q7" s="31"/>
      <c r="R7" s="31"/>
      <c r="S7" s="31"/>
      <c r="T7" s="31"/>
      <c r="U7" s="31"/>
      <c r="V7" s="233"/>
    </row>
    <row r="8" spans="1:22" ht="30.75" customHeight="1" outlineLevel="1">
      <c r="A8" s="16"/>
      <c r="B8" s="389" t="s">
        <v>117</v>
      </c>
      <c r="C8" s="389"/>
      <c r="D8" s="389"/>
      <c r="E8" s="389"/>
      <c r="F8" s="389"/>
      <c r="G8" s="389"/>
      <c r="H8" s="389"/>
      <c r="I8" s="389"/>
      <c r="J8" s="389"/>
      <c r="K8" s="389"/>
      <c r="L8" s="389"/>
      <c r="M8" s="389"/>
      <c r="N8" s="389"/>
      <c r="O8" s="389"/>
      <c r="P8" s="31"/>
      <c r="Q8" s="31"/>
      <c r="R8" s="31"/>
      <c r="S8" s="31"/>
      <c r="T8" s="31"/>
      <c r="U8" s="31"/>
      <c r="V8" s="233"/>
    </row>
    <row r="9" spans="1:22" ht="22.5" customHeight="1" outlineLevel="1">
      <c r="A9" s="16"/>
      <c r="B9" s="32"/>
      <c r="C9" s="32"/>
      <c r="D9" s="32"/>
      <c r="E9" s="32"/>
      <c r="F9" s="32"/>
      <c r="G9" s="32"/>
      <c r="H9" s="32"/>
      <c r="I9" s="32"/>
      <c r="J9" s="32"/>
      <c r="K9" s="32"/>
      <c r="L9" s="32"/>
      <c r="M9" s="32"/>
      <c r="N9" s="32"/>
      <c r="O9" s="32"/>
      <c r="P9" s="31"/>
      <c r="Q9" s="31"/>
      <c r="R9" s="31"/>
      <c r="S9" s="31"/>
      <c r="T9" s="31"/>
      <c r="U9" s="31"/>
      <c r="V9" s="233"/>
    </row>
    <row r="10" spans="1:22" ht="15.75" outlineLevel="1">
      <c r="A10" s="16"/>
      <c r="B10" s="23" t="s">
        <v>118</v>
      </c>
      <c r="C10" s="16"/>
      <c r="D10" s="16"/>
      <c r="E10" s="16"/>
      <c r="F10" s="16"/>
      <c r="G10" s="16"/>
      <c r="H10" s="16"/>
      <c r="I10" s="16"/>
      <c r="J10" s="16"/>
      <c r="K10" s="16"/>
      <c r="L10" s="16"/>
      <c r="M10" s="16"/>
      <c r="N10" s="31"/>
      <c r="O10" s="31"/>
      <c r="P10" s="31"/>
      <c r="Q10" s="31"/>
      <c r="R10" s="31"/>
      <c r="S10" s="31"/>
      <c r="T10" s="31"/>
      <c r="U10" s="31"/>
      <c r="V10" s="233"/>
    </row>
    <row r="11" spans="1:22" ht="15.75" outlineLevel="1">
      <c r="A11" s="16"/>
      <c r="B11" s="23" t="s">
        <v>119</v>
      </c>
      <c r="C11" s="16"/>
      <c r="D11" s="16"/>
      <c r="E11" s="16"/>
      <c r="F11" s="16"/>
      <c r="G11" s="16"/>
      <c r="H11" s="16"/>
      <c r="I11" s="16"/>
      <c r="J11" s="16"/>
      <c r="K11" s="16"/>
      <c r="L11" s="16"/>
      <c r="M11" s="16"/>
      <c r="N11" s="31"/>
      <c r="O11" s="31"/>
      <c r="P11" s="31"/>
      <c r="Q11" s="31"/>
      <c r="R11" s="31"/>
      <c r="S11" s="31"/>
      <c r="T11" s="31"/>
      <c r="U11" s="31"/>
      <c r="V11" s="233"/>
    </row>
    <row r="12" spans="1:22" ht="15.75" outlineLevel="1">
      <c r="A12" s="16"/>
      <c r="B12" s="23" t="s">
        <v>120</v>
      </c>
      <c r="C12" s="16"/>
      <c r="D12" s="16"/>
      <c r="E12" s="16"/>
      <c r="F12" s="16"/>
      <c r="G12" s="16"/>
      <c r="H12" s="16"/>
      <c r="I12" s="16"/>
      <c r="J12" s="16"/>
      <c r="K12" s="16"/>
      <c r="L12" s="16"/>
      <c r="M12" s="16"/>
      <c r="N12" s="31"/>
      <c r="O12" s="31"/>
      <c r="P12" s="31"/>
      <c r="Q12" s="31"/>
      <c r="R12" s="31"/>
      <c r="S12" s="31"/>
      <c r="T12" s="31"/>
      <c r="U12" s="31"/>
      <c r="V12" s="233"/>
    </row>
    <row r="13" spans="1:22" ht="15.75" outlineLevel="1">
      <c r="A13" s="16"/>
      <c r="B13" s="23" t="s">
        <v>121</v>
      </c>
      <c r="C13" s="16"/>
      <c r="D13" s="16"/>
      <c r="E13" s="16"/>
      <c r="F13" s="16"/>
      <c r="G13" s="16"/>
      <c r="H13" s="16"/>
      <c r="I13" s="16"/>
      <c r="J13" s="16"/>
      <c r="K13" s="16"/>
      <c r="L13" s="16"/>
      <c r="M13" s="16"/>
      <c r="N13" s="31"/>
      <c r="O13" s="31"/>
      <c r="P13" s="31"/>
      <c r="Q13" s="31"/>
      <c r="R13" s="31"/>
      <c r="S13" s="31"/>
      <c r="T13" s="31"/>
      <c r="U13" s="31"/>
      <c r="V13" s="233"/>
    </row>
    <row r="14" spans="1:22" ht="15.75" outlineLevel="1">
      <c r="A14" s="16"/>
      <c r="B14" s="23" t="s">
        <v>122</v>
      </c>
      <c r="C14" s="16"/>
      <c r="D14" s="16"/>
      <c r="E14" s="16"/>
      <c r="F14" s="16"/>
      <c r="G14" s="16"/>
      <c r="H14" s="16"/>
      <c r="I14" s="16"/>
      <c r="J14" s="16"/>
      <c r="K14" s="16"/>
      <c r="L14" s="16"/>
      <c r="M14" s="16"/>
      <c r="N14" s="31"/>
      <c r="O14" s="31"/>
      <c r="P14" s="31"/>
      <c r="Q14" s="31"/>
      <c r="R14" s="31"/>
      <c r="S14" s="31"/>
      <c r="T14" s="31"/>
      <c r="U14" s="31"/>
      <c r="V14" s="233"/>
    </row>
    <row r="15" spans="1:22" ht="15.75" outlineLevel="1">
      <c r="A15" s="33"/>
      <c r="B15" s="17" t="s">
        <v>123</v>
      </c>
      <c r="C15" s="24"/>
      <c r="D15" s="22"/>
      <c r="E15" s="22"/>
      <c r="F15" s="17"/>
      <c r="G15" s="17"/>
      <c r="H15" s="17"/>
      <c r="I15" s="17"/>
      <c r="J15" s="17"/>
      <c r="K15" s="22"/>
      <c r="L15" s="17"/>
      <c r="M15" s="17"/>
      <c r="N15" s="10"/>
      <c r="O15" s="10"/>
      <c r="P15" s="10"/>
      <c r="Q15" s="10"/>
      <c r="R15" s="10"/>
      <c r="S15" s="10"/>
      <c r="T15" s="10"/>
      <c r="U15" s="10"/>
      <c r="V15" s="234"/>
    </row>
    <row r="16" spans="1:22" ht="19.5" customHeight="1" outlineLevel="1" thickBot="1">
      <c r="A16" s="33"/>
      <c r="B16" s="17"/>
      <c r="C16" s="24"/>
      <c r="D16" s="34"/>
      <c r="E16" s="34"/>
      <c r="F16" s="34"/>
      <c r="G16" s="34"/>
      <c r="H16" s="34"/>
      <c r="I16" s="34"/>
      <c r="J16" s="17"/>
      <c r="K16" s="22"/>
      <c r="L16" s="17"/>
      <c r="M16" s="17"/>
      <c r="N16" s="390"/>
      <c r="O16" s="390"/>
      <c r="P16" s="10"/>
      <c r="Q16" s="10"/>
      <c r="R16" s="10"/>
      <c r="S16" s="10"/>
      <c r="T16" s="10"/>
      <c r="U16" s="10"/>
      <c r="V16" s="234"/>
    </row>
    <row r="17" spans="1:22" ht="40.5" customHeight="1" thickBot="1">
      <c r="A17" s="391" t="s">
        <v>124</v>
      </c>
      <c r="B17" s="394" t="s">
        <v>125</v>
      </c>
      <c r="C17" s="397" t="s">
        <v>126</v>
      </c>
      <c r="D17" s="400" t="s">
        <v>127</v>
      </c>
      <c r="E17" s="401"/>
      <c r="F17" s="401"/>
      <c r="G17" s="401"/>
      <c r="H17" s="401"/>
      <c r="I17" s="402"/>
      <c r="J17" s="391" t="s">
        <v>128</v>
      </c>
      <c r="K17" s="403"/>
      <c r="L17" s="403"/>
      <c r="M17" s="403"/>
      <c r="N17" s="403"/>
      <c r="O17" s="397"/>
      <c r="P17" s="400" t="s">
        <v>129</v>
      </c>
      <c r="Q17" s="401"/>
      <c r="R17" s="401"/>
      <c r="S17" s="401"/>
      <c r="T17" s="401"/>
      <c r="U17" s="402"/>
      <c r="V17" s="394" t="s">
        <v>130</v>
      </c>
    </row>
    <row r="18" spans="1:22" ht="30.75" customHeight="1" thickBot="1">
      <c r="A18" s="392"/>
      <c r="B18" s="395"/>
      <c r="C18" s="398"/>
      <c r="D18" s="394" t="s">
        <v>131</v>
      </c>
      <c r="E18" s="404" t="s">
        <v>132</v>
      </c>
      <c r="F18" s="405"/>
      <c r="G18" s="404" t="s">
        <v>133</v>
      </c>
      <c r="H18" s="410"/>
      <c r="I18" s="405"/>
      <c r="J18" s="394" t="s">
        <v>131</v>
      </c>
      <c r="K18" s="404" t="s">
        <v>132</v>
      </c>
      <c r="L18" s="405"/>
      <c r="M18" s="404" t="s">
        <v>133</v>
      </c>
      <c r="N18" s="410"/>
      <c r="O18" s="405"/>
      <c r="P18" s="412" t="s">
        <v>64</v>
      </c>
      <c r="Q18" s="415" t="s">
        <v>134</v>
      </c>
      <c r="R18" s="416"/>
      <c r="S18" s="416"/>
      <c r="T18" s="416"/>
      <c r="U18" s="417"/>
      <c r="V18" s="395"/>
    </row>
    <row r="19" spans="1:22" ht="76.5" customHeight="1" thickBot="1">
      <c r="A19" s="392"/>
      <c r="B19" s="395"/>
      <c r="C19" s="398"/>
      <c r="D19" s="395"/>
      <c r="E19" s="406"/>
      <c r="F19" s="407"/>
      <c r="G19" s="408"/>
      <c r="H19" s="411"/>
      <c r="I19" s="409"/>
      <c r="J19" s="395"/>
      <c r="K19" s="406"/>
      <c r="L19" s="407"/>
      <c r="M19" s="408"/>
      <c r="N19" s="411"/>
      <c r="O19" s="409"/>
      <c r="P19" s="413"/>
      <c r="Q19" s="418" t="s">
        <v>132</v>
      </c>
      <c r="R19" s="419"/>
      <c r="S19" s="422" t="s">
        <v>133</v>
      </c>
      <c r="T19" s="423"/>
      <c r="U19" s="424"/>
      <c r="V19" s="395"/>
    </row>
    <row r="20" spans="1:22" ht="29.25" customHeight="1" thickBot="1">
      <c r="A20" s="392"/>
      <c r="B20" s="395"/>
      <c r="C20" s="398"/>
      <c r="D20" s="395"/>
      <c r="E20" s="408"/>
      <c r="F20" s="409"/>
      <c r="G20" s="425" t="s">
        <v>135</v>
      </c>
      <c r="H20" s="416" t="s">
        <v>136</v>
      </c>
      <c r="I20" s="417"/>
      <c r="J20" s="395"/>
      <c r="K20" s="408"/>
      <c r="L20" s="409"/>
      <c r="M20" s="425" t="s">
        <v>135</v>
      </c>
      <c r="N20" s="416" t="s">
        <v>136</v>
      </c>
      <c r="O20" s="417"/>
      <c r="P20" s="413"/>
      <c r="Q20" s="420"/>
      <c r="R20" s="421"/>
      <c r="S20" s="425" t="s">
        <v>135</v>
      </c>
      <c r="T20" s="416" t="s">
        <v>136</v>
      </c>
      <c r="U20" s="417"/>
      <c r="V20" s="395"/>
    </row>
    <row r="21" spans="1:22" ht="36.75" customHeight="1" thickBot="1">
      <c r="A21" s="393"/>
      <c r="B21" s="396"/>
      <c r="C21" s="399"/>
      <c r="D21" s="396"/>
      <c r="E21" s="38" t="s">
        <v>137</v>
      </c>
      <c r="F21" s="37" t="s">
        <v>138</v>
      </c>
      <c r="G21" s="426"/>
      <c r="H21" s="38" t="s">
        <v>139</v>
      </c>
      <c r="I21" s="37" t="s">
        <v>140</v>
      </c>
      <c r="J21" s="396"/>
      <c r="K21" s="38" t="s">
        <v>137</v>
      </c>
      <c r="L21" s="37" t="s">
        <v>138</v>
      </c>
      <c r="M21" s="426"/>
      <c r="N21" s="38" t="s">
        <v>139</v>
      </c>
      <c r="O21" s="37" t="s">
        <v>140</v>
      </c>
      <c r="P21" s="414"/>
      <c r="Q21" s="38" t="s">
        <v>137</v>
      </c>
      <c r="R21" s="37" t="s">
        <v>138</v>
      </c>
      <c r="S21" s="426"/>
      <c r="T21" s="38" t="s">
        <v>139</v>
      </c>
      <c r="U21" s="37" t="s">
        <v>140</v>
      </c>
      <c r="V21" s="396"/>
    </row>
    <row r="22" spans="1:22" ht="16.5" thickBot="1">
      <c r="A22" s="39">
        <v>1</v>
      </c>
      <c r="B22" s="35">
        <v>2</v>
      </c>
      <c r="C22" s="36">
        <v>3</v>
      </c>
      <c r="D22" s="40">
        <v>4</v>
      </c>
      <c r="E22" s="41">
        <v>5</v>
      </c>
      <c r="F22" s="42">
        <v>6</v>
      </c>
      <c r="G22" s="40">
        <v>7</v>
      </c>
      <c r="H22" s="43">
        <v>8</v>
      </c>
      <c r="I22" s="44">
        <v>9</v>
      </c>
      <c r="J22" s="40">
        <v>10</v>
      </c>
      <c r="K22" s="45">
        <v>11</v>
      </c>
      <c r="L22" s="42">
        <v>12</v>
      </c>
      <c r="M22" s="40">
        <v>13</v>
      </c>
      <c r="N22" s="43">
        <v>14</v>
      </c>
      <c r="O22" s="42">
        <v>15</v>
      </c>
      <c r="P22" s="42">
        <v>16</v>
      </c>
      <c r="Q22" s="43">
        <v>17</v>
      </c>
      <c r="R22" s="47">
        <v>18</v>
      </c>
      <c r="S22" s="46">
        <v>19</v>
      </c>
      <c r="T22" s="43">
        <v>20</v>
      </c>
      <c r="U22" s="42">
        <v>21</v>
      </c>
      <c r="V22" s="46">
        <v>22</v>
      </c>
    </row>
    <row r="23" spans="1:22" ht="31.5">
      <c r="A23" s="48" t="s">
        <v>11</v>
      </c>
      <c r="B23" s="49" t="s">
        <v>141</v>
      </c>
      <c r="C23" s="50" t="s">
        <v>142</v>
      </c>
      <c r="D23" s="51">
        <f aca="true" t="shared" si="0" ref="D23:O23">D25</f>
        <v>8627200</v>
      </c>
      <c r="E23" s="52">
        <f t="shared" si="0"/>
        <v>6356679</v>
      </c>
      <c r="F23" s="53">
        <f t="shared" si="0"/>
        <v>1207849</v>
      </c>
      <c r="G23" s="54">
        <f t="shared" si="0"/>
        <v>48306</v>
      </c>
      <c r="H23" s="55">
        <f t="shared" si="0"/>
        <v>975027</v>
      </c>
      <c r="I23" s="53">
        <f t="shared" si="0"/>
        <v>39339</v>
      </c>
      <c r="J23" s="51">
        <f t="shared" si="0"/>
        <v>8779352.22119355</v>
      </c>
      <c r="K23" s="52">
        <f t="shared" si="0"/>
        <v>6735152.498900751</v>
      </c>
      <c r="L23" s="53">
        <f t="shared" si="0"/>
        <v>1104078.2876128</v>
      </c>
      <c r="M23" s="54">
        <f t="shared" si="0"/>
        <v>0</v>
      </c>
      <c r="N23" s="55">
        <f t="shared" si="0"/>
        <v>931038.7379599999</v>
      </c>
      <c r="O23" s="53">
        <f t="shared" si="0"/>
        <v>9082.69672</v>
      </c>
      <c r="P23" s="56">
        <f aca="true" t="shared" si="1" ref="P23:U23">J23/D23-1</f>
        <v>0.01763633869546899</v>
      </c>
      <c r="Q23" s="57">
        <f t="shared" si="1"/>
        <v>0.05953950150711562</v>
      </c>
      <c r="R23" s="58">
        <f t="shared" si="1"/>
        <v>-0.08591364681114944</v>
      </c>
      <c r="S23" s="59">
        <f t="shared" si="1"/>
        <v>-1</v>
      </c>
      <c r="T23" s="57">
        <f t="shared" si="1"/>
        <v>-0.04511491685871272</v>
      </c>
      <c r="U23" s="58">
        <f t="shared" si="1"/>
        <v>-0.7691172444647805</v>
      </c>
      <c r="V23" s="223"/>
    </row>
    <row r="24" spans="1:22" ht="20.25" customHeight="1">
      <c r="A24" s="60"/>
      <c r="B24" s="61" t="s">
        <v>143</v>
      </c>
      <c r="C24" s="62"/>
      <c r="D24" s="63"/>
      <c r="E24" s="64"/>
      <c r="F24" s="65"/>
      <c r="G24" s="67"/>
      <c r="H24" s="68"/>
      <c r="I24" s="65"/>
      <c r="J24" s="63"/>
      <c r="K24" s="64"/>
      <c r="L24" s="65"/>
      <c r="M24" s="67"/>
      <c r="N24" s="68"/>
      <c r="O24" s="65"/>
      <c r="P24" s="69"/>
      <c r="Q24" s="70"/>
      <c r="R24" s="71"/>
      <c r="S24" s="72"/>
      <c r="T24" s="70"/>
      <c r="U24" s="71"/>
      <c r="V24" s="224"/>
    </row>
    <row r="25" spans="1:22" ht="18.75">
      <c r="A25" s="73">
        <v>1</v>
      </c>
      <c r="B25" s="74" t="s">
        <v>144</v>
      </c>
      <c r="C25" s="75" t="s">
        <v>15</v>
      </c>
      <c r="D25" s="76">
        <f aca="true" t="shared" si="2" ref="D25:O25">D27+D28+D29+D30</f>
        <v>8627200</v>
      </c>
      <c r="E25" s="77">
        <f t="shared" si="2"/>
        <v>6356679</v>
      </c>
      <c r="F25" s="78">
        <f t="shared" si="2"/>
        <v>1207849</v>
      </c>
      <c r="G25" s="79">
        <f t="shared" si="2"/>
        <v>48306</v>
      </c>
      <c r="H25" s="80">
        <f t="shared" si="2"/>
        <v>975027</v>
      </c>
      <c r="I25" s="78">
        <f t="shared" si="2"/>
        <v>39339</v>
      </c>
      <c r="J25" s="76">
        <f t="shared" si="2"/>
        <v>8779352.22119355</v>
      </c>
      <c r="K25" s="77">
        <f t="shared" si="2"/>
        <v>6735152.498900751</v>
      </c>
      <c r="L25" s="78">
        <f t="shared" si="2"/>
        <v>1104078.2876128</v>
      </c>
      <c r="M25" s="79">
        <f t="shared" si="2"/>
        <v>0</v>
      </c>
      <c r="N25" s="80">
        <f t="shared" si="2"/>
        <v>931038.7379599999</v>
      </c>
      <c r="O25" s="78">
        <f t="shared" si="2"/>
        <v>9082.69672</v>
      </c>
      <c r="P25" s="82">
        <f aca="true" t="shared" si="3" ref="P25:U25">J25/D25-1</f>
        <v>0.01763633869546899</v>
      </c>
      <c r="Q25" s="83">
        <f t="shared" si="3"/>
        <v>0.05953950150711562</v>
      </c>
      <c r="R25" s="84">
        <f t="shared" si="3"/>
        <v>-0.08591364681114944</v>
      </c>
      <c r="S25" s="85">
        <f t="shared" si="3"/>
        <v>-1</v>
      </c>
      <c r="T25" s="83">
        <f t="shared" si="3"/>
        <v>-0.04511491685871272</v>
      </c>
      <c r="U25" s="84">
        <f t="shared" si="3"/>
        <v>-0.7691172444647805</v>
      </c>
      <c r="V25" s="224"/>
    </row>
    <row r="26" spans="1:22" ht="21" customHeight="1">
      <c r="A26" s="60"/>
      <c r="B26" s="61" t="s">
        <v>143</v>
      </c>
      <c r="C26" s="62" t="s">
        <v>15</v>
      </c>
      <c r="D26" s="63"/>
      <c r="E26" s="64"/>
      <c r="F26" s="65"/>
      <c r="G26" s="67"/>
      <c r="H26" s="68"/>
      <c r="I26" s="65"/>
      <c r="J26" s="63"/>
      <c r="K26" s="64"/>
      <c r="L26" s="65"/>
      <c r="M26" s="67"/>
      <c r="N26" s="68"/>
      <c r="O26" s="65"/>
      <c r="P26" s="82"/>
      <c r="Q26" s="83"/>
      <c r="R26" s="84"/>
      <c r="S26" s="85"/>
      <c r="T26" s="83"/>
      <c r="U26" s="84"/>
      <c r="V26" s="224"/>
    </row>
    <row r="27" spans="1:22" ht="81.75" customHeight="1">
      <c r="A27" s="60" t="s">
        <v>0</v>
      </c>
      <c r="B27" s="61" t="s">
        <v>145</v>
      </c>
      <c r="C27" s="62" t="s">
        <v>15</v>
      </c>
      <c r="D27" s="63">
        <f>E27+F27</f>
        <v>3418790</v>
      </c>
      <c r="E27" s="64">
        <v>2873263</v>
      </c>
      <c r="F27" s="65">
        <v>545527</v>
      </c>
      <c r="G27" s="63">
        <v>0</v>
      </c>
      <c r="H27" s="64">
        <v>0</v>
      </c>
      <c r="I27" s="66">
        <v>0</v>
      </c>
      <c r="J27" s="63">
        <f>K27+L27+M27+N27+O27</f>
        <v>3488405.60942717</v>
      </c>
      <c r="K27" s="64">
        <f>('[2]г.Павлодар продолж. '!$AF$1572+'[2]г.Павлодар продолж. '!$AF$1692+'[2]г.Павлодар продолж. '!$AF$1857)</f>
        <v>3018162.98284929</v>
      </c>
      <c r="L27" s="65">
        <f>('[2]г.Павлодар продолж. '!$AF$1632+'[2]г.Павлодар продолж. '!$AF$1782+'[2]г.Павлодар продолж. '!$AF$1938)</f>
        <v>470242.62657788</v>
      </c>
      <c r="M27" s="63">
        <v>0</v>
      </c>
      <c r="N27" s="64">
        <v>0</v>
      </c>
      <c r="O27" s="66">
        <v>0</v>
      </c>
      <c r="P27" s="85">
        <f>J27/D27-1</f>
        <v>0.02036264568083146</v>
      </c>
      <c r="Q27" s="83">
        <f>K27/E27-1</f>
        <v>0.05043046280458485</v>
      </c>
      <c r="R27" s="84">
        <f>L27/F27-1</f>
        <v>-0.13800301987274688</v>
      </c>
      <c r="S27" s="85"/>
      <c r="T27" s="83"/>
      <c r="U27" s="84"/>
      <c r="V27" s="158" t="s">
        <v>146</v>
      </c>
    </row>
    <row r="28" spans="1:22" ht="90.75" customHeight="1">
      <c r="A28" s="60" t="s">
        <v>1</v>
      </c>
      <c r="B28" s="61" t="s">
        <v>147</v>
      </c>
      <c r="C28" s="62" t="s">
        <v>15</v>
      </c>
      <c r="D28" s="63">
        <f>I28</f>
        <v>39339</v>
      </c>
      <c r="E28" s="64">
        <v>0</v>
      </c>
      <c r="F28" s="65">
        <v>0</v>
      </c>
      <c r="G28" s="63">
        <v>0</v>
      </c>
      <c r="H28" s="64">
        <v>0</v>
      </c>
      <c r="I28" s="66">
        <v>39339</v>
      </c>
      <c r="J28" s="63">
        <f>K28+L28+M28+N28+O28</f>
        <v>9082.69672</v>
      </c>
      <c r="K28" s="64">
        <v>0</v>
      </c>
      <c r="L28" s="65">
        <v>0</v>
      </c>
      <c r="M28" s="63">
        <v>0</v>
      </c>
      <c r="N28" s="64">
        <v>0</v>
      </c>
      <c r="O28" s="66">
        <f>('[2]г.Павлодар продолж. '!$AF$1512+'[2]г.Павлодар продолж. '!$AF$1518)</f>
        <v>9082.69672</v>
      </c>
      <c r="P28" s="85">
        <f>J28/D28-1</f>
        <v>-0.7691172444647805</v>
      </c>
      <c r="Q28" s="83"/>
      <c r="R28" s="84"/>
      <c r="S28" s="85"/>
      <c r="T28" s="83"/>
      <c r="U28" s="84">
        <f>O28/I28-1</f>
        <v>-0.7691172444647805</v>
      </c>
      <c r="V28" s="225" t="s">
        <v>148</v>
      </c>
    </row>
    <row r="29" spans="1:22" ht="87" customHeight="1">
      <c r="A29" s="60" t="s">
        <v>56</v>
      </c>
      <c r="B29" s="61" t="s">
        <v>149</v>
      </c>
      <c r="C29" s="62" t="s">
        <v>15</v>
      </c>
      <c r="D29" s="63">
        <f>G29+H29</f>
        <v>1023333</v>
      </c>
      <c r="E29" s="64">
        <v>0</v>
      </c>
      <c r="F29" s="65">
        <v>0</v>
      </c>
      <c r="G29" s="63">
        <v>48306</v>
      </c>
      <c r="H29" s="64">
        <v>975027</v>
      </c>
      <c r="I29" s="66">
        <v>0</v>
      </c>
      <c r="J29" s="63">
        <f>K29+L29+M29+N29+O29</f>
        <v>931038.7379599999</v>
      </c>
      <c r="K29" s="64">
        <v>0</v>
      </c>
      <c r="L29" s="65">
        <v>0</v>
      </c>
      <c r="M29" s="63">
        <f>'[1]г.Павлодар1'!$EA$828</f>
        <v>0</v>
      </c>
      <c r="N29" s="64">
        <f>('[2]г.Павлодар продолж. '!$AF$1515+'[2]г.Павлодар продолж. '!$AF$1509)</f>
        <v>931038.7379599999</v>
      </c>
      <c r="O29" s="66">
        <v>0</v>
      </c>
      <c r="P29" s="85">
        <f>J29/D29-1</f>
        <v>-0.09018986199018308</v>
      </c>
      <c r="Q29" s="83"/>
      <c r="R29" s="84"/>
      <c r="S29" s="85">
        <f>M29/G29-1</f>
        <v>-1</v>
      </c>
      <c r="T29" s="83">
        <f>N29/H29-1</f>
        <v>-0.04511491685871272</v>
      </c>
      <c r="U29" s="84"/>
      <c r="V29" s="61" t="s">
        <v>150</v>
      </c>
    </row>
    <row r="30" spans="1:22" ht="47.25">
      <c r="A30" s="60" t="s">
        <v>57</v>
      </c>
      <c r="B30" s="61" t="s">
        <v>151</v>
      </c>
      <c r="C30" s="62" t="s">
        <v>15</v>
      </c>
      <c r="D30" s="63">
        <f>E30+F30</f>
        <v>4145738</v>
      </c>
      <c r="E30" s="64">
        <v>3483416</v>
      </c>
      <c r="F30" s="65">
        <v>662322</v>
      </c>
      <c r="G30" s="63">
        <v>0</v>
      </c>
      <c r="H30" s="64">
        <v>0</v>
      </c>
      <c r="I30" s="66">
        <v>0</v>
      </c>
      <c r="J30" s="63">
        <f>K30+L30+M30+N30+O30</f>
        <v>4350825.17708638</v>
      </c>
      <c r="K30" s="64">
        <f>('[2]г.Павлодар продолж. '!$AG$1572+'[2]г.Павлодар продолж. '!$AG$1692+'[2]г.Павлодар продолж. '!$AG$1857)</f>
        <v>3716989.51605146</v>
      </c>
      <c r="L30" s="65">
        <f>('[2]г.Павлодар продолж. '!$AG$1632+'[2]г.Павлодар продолж. '!$AG$1782+'[2]г.Павлодар продолж. '!$AG$1938)</f>
        <v>633835.6610349199</v>
      </c>
      <c r="M30" s="63">
        <v>0</v>
      </c>
      <c r="N30" s="64">
        <v>0</v>
      </c>
      <c r="O30" s="66">
        <v>0</v>
      </c>
      <c r="P30" s="85">
        <f>J30/D30-1</f>
        <v>0.04946940136747191</v>
      </c>
      <c r="Q30" s="83">
        <f>K30/E30-1</f>
        <v>0.06705300660370739</v>
      </c>
      <c r="R30" s="84">
        <f>L30/F30-1</f>
        <v>-0.043009803335960606</v>
      </c>
      <c r="S30" s="85"/>
      <c r="T30" s="83"/>
      <c r="U30" s="84"/>
      <c r="V30" s="225" t="s">
        <v>152</v>
      </c>
    </row>
    <row r="31" spans="1:22" ht="20.25" customHeight="1">
      <c r="A31" s="73" t="s">
        <v>18</v>
      </c>
      <c r="B31" s="74" t="s">
        <v>153</v>
      </c>
      <c r="C31" s="75" t="s">
        <v>15</v>
      </c>
      <c r="D31" s="76">
        <f>SUM(E31:I31)-1</f>
        <v>145076.53406853258</v>
      </c>
      <c r="E31" s="77">
        <f>(E33+E37+E42+E43+E47)+1</f>
        <v>109532.35813939158</v>
      </c>
      <c r="F31" s="78">
        <f>(F33+F37+F42+F43+F47)</f>
        <v>20793.5</v>
      </c>
      <c r="G31" s="79">
        <f>G33+G37+G42+G43+G47</f>
        <v>326.4</v>
      </c>
      <c r="H31" s="80">
        <f>H33+H37+H42+H43+H47</f>
        <v>12618.5</v>
      </c>
      <c r="I31" s="78">
        <f>I33+I37+I42+I43+I47+1</f>
        <v>1806.7759291410152</v>
      </c>
      <c r="J31" s="76">
        <f aca="true" t="shared" si="4" ref="J31:O31">J33+J37+J42+J43+J47</f>
        <v>204608.80655666726</v>
      </c>
      <c r="K31" s="77">
        <f t="shared" si="4"/>
        <v>160272.92332678844</v>
      </c>
      <c r="L31" s="78">
        <f t="shared" si="4"/>
        <v>27283.385135161498</v>
      </c>
      <c r="M31" s="79">
        <f t="shared" si="4"/>
        <v>0</v>
      </c>
      <c r="N31" s="80">
        <f t="shared" si="4"/>
        <v>16474.13570794174</v>
      </c>
      <c r="O31" s="78">
        <f t="shared" si="4"/>
        <v>578.3623867755839</v>
      </c>
      <c r="P31" s="82">
        <f>J31/D31-1</f>
        <v>0.41035080463124585</v>
      </c>
      <c r="Q31" s="86">
        <f>K31/E31-1</f>
        <v>0.46324726363349256</v>
      </c>
      <c r="R31" s="87">
        <f>L31/F31-1</f>
        <v>0.31211124318472105</v>
      </c>
      <c r="S31" s="82">
        <f>M31/G31-1</f>
        <v>-1</v>
      </c>
      <c r="T31" s="86">
        <f>N31/H31-1</f>
        <v>0.30555420279286283</v>
      </c>
      <c r="U31" s="87">
        <f>O31/I31-1</f>
        <v>-0.6798925769115425</v>
      </c>
      <c r="V31" s="224"/>
    </row>
    <row r="32" spans="1:22" ht="18.75">
      <c r="A32" s="60"/>
      <c r="B32" s="61" t="s">
        <v>143</v>
      </c>
      <c r="C32" s="62" t="s">
        <v>15</v>
      </c>
      <c r="D32" s="88"/>
      <c r="E32" s="64"/>
      <c r="F32" s="65"/>
      <c r="G32" s="67"/>
      <c r="H32" s="68"/>
      <c r="I32" s="65"/>
      <c r="J32" s="88"/>
      <c r="K32" s="64"/>
      <c r="L32" s="65"/>
      <c r="M32" s="67"/>
      <c r="N32" s="68"/>
      <c r="O32" s="65"/>
      <c r="P32" s="82"/>
      <c r="Q32" s="83"/>
      <c r="R32" s="84"/>
      <c r="S32" s="85"/>
      <c r="T32" s="83"/>
      <c r="U32" s="84"/>
      <c r="V32" s="224"/>
    </row>
    <row r="33" spans="1:22" ht="18.75">
      <c r="A33" s="427">
        <v>2</v>
      </c>
      <c r="B33" s="74" t="s">
        <v>154</v>
      </c>
      <c r="C33" s="75" t="s">
        <v>15</v>
      </c>
      <c r="D33" s="89">
        <f>SUM(E33:I34)</f>
        <v>2261</v>
      </c>
      <c r="E33" s="77">
        <f>E35+E36</f>
        <v>1707</v>
      </c>
      <c r="F33" s="78">
        <f>F35+F36</f>
        <v>324</v>
      </c>
      <c r="G33" s="79">
        <f>G35+G36</f>
        <v>7</v>
      </c>
      <c r="H33" s="80">
        <f>H35+H36</f>
        <v>196</v>
      </c>
      <c r="I33" s="78">
        <f>I35+I36</f>
        <v>27</v>
      </c>
      <c r="J33" s="89">
        <f aca="true" t="shared" si="5" ref="J33:O33">J35+J36</f>
        <v>4820.428543750077</v>
      </c>
      <c r="K33" s="77">
        <f t="shared" si="5"/>
        <v>3775.9087079213673</v>
      </c>
      <c r="L33" s="78">
        <f t="shared" si="5"/>
        <v>642.7758936135268</v>
      </c>
      <c r="M33" s="79">
        <f t="shared" si="5"/>
        <v>0</v>
      </c>
      <c r="N33" s="80">
        <f t="shared" si="5"/>
        <v>388.1181623440101</v>
      </c>
      <c r="O33" s="78">
        <f t="shared" si="5"/>
        <v>13.625779871172414</v>
      </c>
      <c r="P33" s="82">
        <f aca="true" t="shared" si="6" ref="P33:U33">J33/D33-1</f>
        <v>1.1319896257187425</v>
      </c>
      <c r="Q33" s="83">
        <f t="shared" si="6"/>
        <v>1.2120144744706312</v>
      </c>
      <c r="R33" s="84">
        <f t="shared" si="6"/>
        <v>0.9838762148565643</v>
      </c>
      <c r="S33" s="85">
        <f t="shared" si="6"/>
        <v>-1</v>
      </c>
      <c r="T33" s="83">
        <f t="shared" si="6"/>
        <v>0.9801947058367861</v>
      </c>
      <c r="U33" s="84">
        <f t="shared" si="6"/>
        <v>-0.49534148625287355</v>
      </c>
      <c r="V33" s="224"/>
    </row>
    <row r="34" spans="1:22" ht="18.75">
      <c r="A34" s="427"/>
      <c r="B34" s="61" t="s">
        <v>143</v>
      </c>
      <c r="C34" s="62" t="s">
        <v>15</v>
      </c>
      <c r="D34" s="88"/>
      <c r="E34" s="64"/>
      <c r="F34" s="65"/>
      <c r="G34" s="67"/>
      <c r="H34" s="68"/>
      <c r="I34" s="65"/>
      <c r="J34" s="88"/>
      <c r="K34" s="64"/>
      <c r="L34" s="65"/>
      <c r="M34" s="67"/>
      <c r="N34" s="68"/>
      <c r="O34" s="65"/>
      <c r="P34" s="82"/>
      <c r="Q34" s="83"/>
      <c r="R34" s="84"/>
      <c r="S34" s="85"/>
      <c r="T34" s="83"/>
      <c r="U34" s="84"/>
      <c r="V34" s="224"/>
    </row>
    <row r="35" spans="1:22" ht="127.5" customHeight="1">
      <c r="A35" s="60" t="s">
        <v>2</v>
      </c>
      <c r="B35" s="61" t="s">
        <v>155</v>
      </c>
      <c r="C35" s="62" t="s">
        <v>15</v>
      </c>
      <c r="D35" s="88">
        <f>E35+F35+G35+H35+I35</f>
        <v>2228</v>
      </c>
      <c r="E35" s="64">
        <v>1682</v>
      </c>
      <c r="F35" s="65">
        <v>319</v>
      </c>
      <c r="G35" s="67">
        <v>7</v>
      </c>
      <c r="H35" s="68">
        <v>193</v>
      </c>
      <c r="I35" s="65">
        <v>27</v>
      </c>
      <c r="J35" s="88">
        <f>'[3]исполнение тар.сметы-правда '!$DA$22</f>
        <v>4783.723171540077</v>
      </c>
      <c r="K35" s="64">
        <f>J35*K72/100</f>
        <v>3747.1568794693244</v>
      </c>
      <c r="L35" s="65">
        <f>J35*L72/100</f>
        <v>637.8814473607575</v>
      </c>
      <c r="M35" s="67">
        <f>J35*M72/100</f>
        <v>0</v>
      </c>
      <c r="N35" s="68">
        <f>J35*N72/100</f>
        <v>385.16281895887295</v>
      </c>
      <c r="O35" s="65">
        <f>J35*O72/100</f>
        <v>13.522025751121953</v>
      </c>
      <c r="P35" s="72">
        <f aca="true" t="shared" si="7" ref="P35:U37">J35/D35-1</f>
        <v>1.147092985430914</v>
      </c>
      <c r="Q35" s="70">
        <f t="shared" si="7"/>
        <v>1.2277983825620242</v>
      </c>
      <c r="R35" s="71">
        <f t="shared" si="7"/>
        <v>0.9996283616324688</v>
      </c>
      <c r="S35" s="72">
        <f t="shared" si="7"/>
        <v>-1</v>
      </c>
      <c r="T35" s="70">
        <f t="shared" si="7"/>
        <v>0.9956622743983055</v>
      </c>
      <c r="U35" s="71">
        <f t="shared" si="7"/>
        <v>-0.49918423143992763</v>
      </c>
      <c r="V35" s="194" t="s">
        <v>156</v>
      </c>
    </row>
    <row r="36" spans="1:22" ht="18.75">
      <c r="A36" s="60" t="s">
        <v>3</v>
      </c>
      <c r="B36" s="61" t="s">
        <v>157</v>
      </c>
      <c r="C36" s="62" t="s">
        <v>15</v>
      </c>
      <c r="D36" s="88">
        <f>E36+F36+G36+H36+I36</f>
        <v>33</v>
      </c>
      <c r="E36" s="64">
        <v>25</v>
      </c>
      <c r="F36" s="65">
        <v>5</v>
      </c>
      <c r="G36" s="67">
        <v>0</v>
      </c>
      <c r="H36" s="68">
        <v>3</v>
      </c>
      <c r="I36" s="65">
        <v>0</v>
      </c>
      <c r="J36" s="88">
        <f>'[3]исполнение тар.сметы-правда '!$DA$23</f>
        <v>36.70537221</v>
      </c>
      <c r="K36" s="64">
        <f>J36*K72/100</f>
        <v>28.751828452043064</v>
      </c>
      <c r="L36" s="65">
        <f>J36*L72/100</f>
        <v>4.894446252769327</v>
      </c>
      <c r="M36" s="67">
        <f>J36*M72/100</f>
        <v>0</v>
      </c>
      <c r="N36" s="68">
        <f>J36*N72/100</f>
        <v>2.9553433851371507</v>
      </c>
      <c r="O36" s="65">
        <f>J36*O72/100</f>
        <v>0.10375412005045995</v>
      </c>
      <c r="P36" s="85">
        <f t="shared" si="7"/>
        <v>0.11228400636363634</v>
      </c>
      <c r="Q36" s="83">
        <f t="shared" si="7"/>
        <v>0.15007313808172262</v>
      </c>
      <c r="R36" s="84">
        <f t="shared" si="7"/>
        <v>-0.02111074944613467</v>
      </c>
      <c r="S36" s="84"/>
      <c r="T36" s="83">
        <f>N36/H36-1</f>
        <v>-0.014885538287616407</v>
      </c>
      <c r="U36" s="71"/>
      <c r="V36" s="224"/>
    </row>
    <row r="37" spans="1:22" ht="18.75">
      <c r="A37" s="427">
        <v>3</v>
      </c>
      <c r="B37" s="74" t="s">
        <v>158</v>
      </c>
      <c r="C37" s="62" t="s">
        <v>15</v>
      </c>
      <c r="D37" s="89">
        <f aca="true" t="shared" si="8" ref="D37:I37">SUM(D39:D41)</f>
        <v>104208</v>
      </c>
      <c r="E37" s="77">
        <f t="shared" si="8"/>
        <v>78677</v>
      </c>
      <c r="F37" s="78">
        <f t="shared" si="8"/>
        <v>14950</v>
      </c>
      <c r="G37" s="79">
        <f t="shared" si="8"/>
        <v>205</v>
      </c>
      <c r="H37" s="80">
        <f t="shared" si="8"/>
        <v>9062</v>
      </c>
      <c r="I37" s="78">
        <f t="shared" si="8"/>
        <v>1314</v>
      </c>
      <c r="J37" s="89">
        <f aca="true" t="shared" si="9" ref="J37:O37">J39+J40+J41</f>
        <v>155705.10609316</v>
      </c>
      <c r="K37" s="77">
        <f t="shared" si="9"/>
        <v>121965.97473211407</v>
      </c>
      <c r="L37" s="78">
        <f t="shared" si="9"/>
        <v>20762.36330460351</v>
      </c>
      <c r="M37" s="79">
        <f t="shared" si="9"/>
        <v>0</v>
      </c>
      <c r="N37" s="80">
        <f t="shared" si="9"/>
        <v>12536.640486624252</v>
      </c>
      <c r="O37" s="78">
        <f t="shared" si="9"/>
        <v>440.1275698181873</v>
      </c>
      <c r="P37" s="82">
        <f t="shared" si="7"/>
        <v>0.4941761294061875</v>
      </c>
      <c r="Q37" s="86">
        <f t="shared" si="7"/>
        <v>0.5502113035844538</v>
      </c>
      <c r="R37" s="87">
        <f t="shared" si="7"/>
        <v>0.3887868431172916</v>
      </c>
      <c r="S37" s="82">
        <f>M37/G37-1</f>
        <v>-1</v>
      </c>
      <c r="T37" s="86">
        <f>N37/H37-1</f>
        <v>0.3834297601659955</v>
      </c>
      <c r="U37" s="87">
        <f>O37/I37-1</f>
        <v>-0.665047511553891</v>
      </c>
      <c r="V37" s="224"/>
    </row>
    <row r="38" spans="1:22" ht="14.25" customHeight="1">
      <c r="A38" s="427"/>
      <c r="B38" s="61" t="s">
        <v>143</v>
      </c>
      <c r="C38" s="62"/>
      <c r="D38" s="88"/>
      <c r="E38" s="64"/>
      <c r="F38" s="65"/>
      <c r="G38" s="67"/>
      <c r="H38" s="68"/>
      <c r="I38" s="65"/>
      <c r="J38" s="88"/>
      <c r="K38" s="64"/>
      <c r="L38" s="65"/>
      <c r="M38" s="67"/>
      <c r="N38" s="68"/>
      <c r="O38" s="65"/>
      <c r="P38" s="82"/>
      <c r="Q38" s="83"/>
      <c r="R38" s="84"/>
      <c r="S38" s="85"/>
      <c r="T38" s="83"/>
      <c r="U38" s="84"/>
      <c r="V38" s="224"/>
    </row>
    <row r="39" spans="1:22" ht="63">
      <c r="A39" s="60" t="s">
        <v>22</v>
      </c>
      <c r="B39" s="61" t="s">
        <v>159</v>
      </c>
      <c r="C39" s="62" t="s">
        <v>15</v>
      </c>
      <c r="D39" s="88">
        <f>E39+F39+G39+H39+I39</f>
        <v>94821</v>
      </c>
      <c r="E39" s="64">
        <f>71590</f>
        <v>71590</v>
      </c>
      <c r="F39" s="65">
        <v>13608</v>
      </c>
      <c r="G39" s="67">
        <v>177</v>
      </c>
      <c r="H39" s="68">
        <v>8245</v>
      </c>
      <c r="I39" s="65">
        <v>1201</v>
      </c>
      <c r="J39" s="88">
        <f>'[3]исполнение тар.сметы-правда '!$DA$26</f>
        <v>141973.8194454888</v>
      </c>
      <c r="K39" s="64">
        <f>J39*K72/100</f>
        <v>111210.06696305696</v>
      </c>
      <c r="L39" s="65">
        <f>J39*L72/100</f>
        <v>18931.376709674336</v>
      </c>
      <c r="M39" s="67">
        <f>J39*M72/100</f>
        <v>0</v>
      </c>
      <c r="N39" s="68">
        <f>J39*N72/100</f>
        <v>11431.062073430518</v>
      </c>
      <c r="O39" s="65">
        <f>J39*O72/100</f>
        <v>401.3136993270002</v>
      </c>
      <c r="P39" s="85">
        <f aca="true" t="shared" si="10" ref="P39:U43">J39/D39-1</f>
        <v>0.4972824526791406</v>
      </c>
      <c r="Q39" s="83">
        <f t="shared" si="10"/>
        <v>0.5534301852641006</v>
      </c>
      <c r="R39" s="84">
        <f t="shared" si="10"/>
        <v>0.3911946435680729</v>
      </c>
      <c r="S39" s="85">
        <f t="shared" si="10"/>
        <v>-1</v>
      </c>
      <c r="T39" s="83">
        <f t="shared" si="10"/>
        <v>0.38642353831783116</v>
      </c>
      <c r="U39" s="84">
        <f t="shared" si="10"/>
        <v>-0.6658503752481264</v>
      </c>
      <c r="V39" s="158" t="s">
        <v>160</v>
      </c>
    </row>
    <row r="40" spans="1:22" ht="15.75">
      <c r="A40" s="92" t="s">
        <v>24</v>
      </c>
      <c r="B40" s="91" t="s">
        <v>161</v>
      </c>
      <c r="C40" s="93" t="s">
        <v>15</v>
      </c>
      <c r="D40" s="96">
        <f>E40+F40+G40+H40+I40</f>
        <v>8107.591456269309</v>
      </c>
      <c r="E40" s="94">
        <v>6121</v>
      </c>
      <c r="F40" s="95">
        <v>1159</v>
      </c>
      <c r="G40" s="97">
        <v>24</v>
      </c>
      <c r="H40" s="98">
        <v>706</v>
      </c>
      <c r="I40" s="95">
        <v>97.59145626930862</v>
      </c>
      <c r="J40" s="96">
        <f>'[3]исполнение тар.сметы-правда '!$DA$27-J41</f>
        <v>11513.227619171208</v>
      </c>
      <c r="K40" s="94">
        <f>J40*K72/100</f>
        <v>9018.471289212266</v>
      </c>
      <c r="L40" s="95">
        <f>J40*L72/100</f>
        <v>1535.2214235980591</v>
      </c>
      <c r="M40" s="97">
        <f>J40*M72/100</f>
        <v>0</v>
      </c>
      <c r="N40" s="98">
        <f>J40*N72/100</f>
        <v>926.990765581341</v>
      </c>
      <c r="O40" s="95">
        <f>J40*O72/100</f>
        <v>32.54414077954287</v>
      </c>
      <c r="P40" s="85">
        <f t="shared" si="10"/>
        <v>0.4200552261755177</v>
      </c>
      <c r="Q40" s="83">
        <f t="shared" si="10"/>
        <v>0.4733656737807983</v>
      </c>
      <c r="R40" s="84">
        <f t="shared" si="10"/>
        <v>0.324608648488403</v>
      </c>
      <c r="S40" s="85">
        <f t="shared" si="10"/>
        <v>-1</v>
      </c>
      <c r="T40" s="83">
        <f t="shared" si="10"/>
        <v>0.313018081559973</v>
      </c>
      <c r="U40" s="84">
        <f t="shared" si="10"/>
        <v>-0.6665267429790611</v>
      </c>
      <c r="V40" s="428" t="s">
        <v>162</v>
      </c>
    </row>
    <row r="41" spans="1:22" s="216" customFormat="1" ht="126.75" customHeight="1">
      <c r="A41" s="92" t="s">
        <v>115</v>
      </c>
      <c r="B41" s="91" t="s">
        <v>163</v>
      </c>
      <c r="C41" s="215" t="s">
        <v>15</v>
      </c>
      <c r="D41" s="96">
        <f>E41+F41+G41+H41+I41</f>
        <v>1279.4085437306915</v>
      </c>
      <c r="E41" s="94">
        <v>966</v>
      </c>
      <c r="F41" s="95">
        <v>183</v>
      </c>
      <c r="G41" s="97">
        <v>4</v>
      </c>
      <c r="H41" s="98">
        <v>111</v>
      </c>
      <c r="I41" s="95">
        <v>15.408543730691381</v>
      </c>
      <c r="J41" s="96">
        <f>'[4]12 мес'!$E$270+'[4]12 мес'!$F$270</f>
        <v>2218.0590285</v>
      </c>
      <c r="K41" s="94">
        <f>J41*K72/100</f>
        <v>1737.4364798448476</v>
      </c>
      <c r="L41" s="95">
        <f>J41*L72/100</f>
        <v>295.765171331115</v>
      </c>
      <c r="M41" s="97">
        <f>J41*M72/100</f>
        <v>0</v>
      </c>
      <c r="N41" s="98">
        <f>J41*N72/100</f>
        <v>178.5876476123932</v>
      </c>
      <c r="O41" s="95">
        <f>J41*O72/100</f>
        <v>6.269729711644178</v>
      </c>
      <c r="P41" s="85">
        <f t="shared" si="10"/>
        <v>0.7336596971849589</v>
      </c>
      <c r="Q41" s="83">
        <f t="shared" si="10"/>
        <v>0.7985884884522232</v>
      </c>
      <c r="R41" s="84">
        <f t="shared" si="10"/>
        <v>0.6162031220279509</v>
      </c>
      <c r="S41" s="85">
        <f t="shared" si="10"/>
        <v>-1</v>
      </c>
      <c r="T41" s="83">
        <f t="shared" si="10"/>
        <v>0.6088977262377766</v>
      </c>
      <c r="U41" s="84">
        <f t="shared" si="10"/>
        <v>-0.5931004369247518</v>
      </c>
      <c r="V41" s="429"/>
    </row>
    <row r="42" spans="1:22" ht="15.75">
      <c r="A42" s="99">
        <v>4</v>
      </c>
      <c r="B42" s="100" t="s">
        <v>25</v>
      </c>
      <c r="C42" s="93" t="s">
        <v>15</v>
      </c>
      <c r="D42" s="103">
        <f>E42+F42+G42+H42+I42</f>
        <v>6041</v>
      </c>
      <c r="E42" s="101">
        <v>4561</v>
      </c>
      <c r="F42" s="102">
        <v>864</v>
      </c>
      <c r="G42" s="104">
        <v>18</v>
      </c>
      <c r="H42" s="105">
        <v>526</v>
      </c>
      <c r="I42" s="102">
        <v>72</v>
      </c>
      <c r="J42" s="103">
        <f>'[3]исполнение тар.сметы-правда '!$DA$28</f>
        <v>6195.754852148577</v>
      </c>
      <c r="K42" s="101">
        <f>J42*K72/100</f>
        <v>4853.220929642477</v>
      </c>
      <c r="L42" s="102">
        <f>J42*L72/100</f>
        <v>826.1675960042247</v>
      </c>
      <c r="M42" s="104">
        <f>J42*M72/100</f>
        <v>0</v>
      </c>
      <c r="N42" s="105">
        <f>J42*N72/100</f>
        <v>498.85294755954476</v>
      </c>
      <c r="O42" s="102">
        <f>J42*O72/100</f>
        <v>17.513378942331208</v>
      </c>
      <c r="P42" s="82">
        <f t="shared" si="10"/>
        <v>0.025617422967816106</v>
      </c>
      <c r="Q42" s="86">
        <f t="shared" si="10"/>
        <v>0.06406948687622838</v>
      </c>
      <c r="R42" s="87">
        <f t="shared" si="10"/>
        <v>-0.043787504624739904</v>
      </c>
      <c r="S42" s="82">
        <f t="shared" si="10"/>
        <v>-1</v>
      </c>
      <c r="T42" s="86">
        <f t="shared" si="10"/>
        <v>-0.05161036585637879</v>
      </c>
      <c r="U42" s="87">
        <f t="shared" si="10"/>
        <v>-0.7567586258009554</v>
      </c>
      <c r="V42" s="195"/>
    </row>
    <row r="43" spans="1:22" ht="18.75">
      <c r="A43" s="427">
        <v>5</v>
      </c>
      <c r="B43" s="74" t="s">
        <v>164</v>
      </c>
      <c r="C43" s="75" t="s">
        <v>15</v>
      </c>
      <c r="D43" s="89">
        <f>SUM(E43:I43)+1</f>
        <v>8544.5</v>
      </c>
      <c r="E43" s="77">
        <f>E45+E46</f>
        <v>6451.5</v>
      </c>
      <c r="F43" s="78">
        <f>F45+F46</f>
        <v>1227</v>
      </c>
      <c r="G43" s="79">
        <f>G45+G46</f>
        <v>26</v>
      </c>
      <c r="H43" s="80">
        <f>H45+H46</f>
        <v>741</v>
      </c>
      <c r="I43" s="78">
        <f>I45+I46</f>
        <v>98</v>
      </c>
      <c r="J43" s="89">
        <f>SUM(K43:O43)</f>
        <v>9839.708657129999</v>
      </c>
      <c r="K43" s="77">
        <f>K45+K46</f>
        <v>7707.580615428522</v>
      </c>
      <c r="L43" s="78">
        <f>L45+L46</f>
        <v>1312.0674785613849</v>
      </c>
      <c r="M43" s="79">
        <f>M45+M46</f>
        <v>0</v>
      </c>
      <c r="N43" s="80">
        <f>N45+N46</f>
        <v>792.2469148427115</v>
      </c>
      <c r="O43" s="78">
        <f>O45+O46</f>
        <v>27.81364829738137</v>
      </c>
      <c r="P43" s="82">
        <f t="shared" si="10"/>
        <v>0.1515839027596697</v>
      </c>
      <c r="Q43" s="86">
        <f t="shared" si="10"/>
        <v>0.19469590256971592</v>
      </c>
      <c r="R43" s="87">
        <f t="shared" si="10"/>
        <v>0.06932964837928668</v>
      </c>
      <c r="S43" s="82">
        <f t="shared" si="10"/>
        <v>-1</v>
      </c>
      <c r="T43" s="86">
        <f t="shared" si="10"/>
        <v>0.06915912934239055</v>
      </c>
      <c r="U43" s="87">
        <f t="shared" si="10"/>
        <v>-0.7161872622716187</v>
      </c>
      <c r="V43" s="224"/>
    </row>
    <row r="44" spans="1:22" ht="14.25" customHeight="1">
      <c r="A44" s="427"/>
      <c r="B44" s="61" t="s">
        <v>143</v>
      </c>
      <c r="C44" s="62" t="s">
        <v>15</v>
      </c>
      <c r="D44" s="88"/>
      <c r="E44" s="64"/>
      <c r="F44" s="65"/>
      <c r="G44" s="67"/>
      <c r="H44" s="68"/>
      <c r="I44" s="65"/>
      <c r="J44" s="88"/>
      <c r="K44" s="64"/>
      <c r="L44" s="65"/>
      <c r="M44" s="67"/>
      <c r="N44" s="68"/>
      <c r="O44" s="65"/>
      <c r="P44" s="82"/>
      <c r="Q44" s="83"/>
      <c r="R44" s="84"/>
      <c r="S44" s="85"/>
      <c r="T44" s="83"/>
      <c r="U44" s="84"/>
      <c r="V44" s="224"/>
    </row>
    <row r="45" spans="1:22" ht="30">
      <c r="A45" s="19" t="s">
        <v>26</v>
      </c>
      <c r="B45" s="9" t="s">
        <v>165</v>
      </c>
      <c r="C45" s="106" t="s">
        <v>15</v>
      </c>
      <c r="D45" s="109">
        <f>E45+F45+G45+H45+I45+1</f>
        <v>8232.5</v>
      </c>
      <c r="E45" s="107">
        <v>6215.5</v>
      </c>
      <c r="F45" s="108">
        <v>1182</v>
      </c>
      <c r="G45" s="97">
        <v>25</v>
      </c>
      <c r="H45" s="110">
        <v>715</v>
      </c>
      <c r="I45" s="108">
        <v>94</v>
      </c>
      <c r="J45" s="109">
        <f>'[3]исполнение тар.сметы-правда '!$DA$31</f>
        <v>9308.821178189999</v>
      </c>
      <c r="K45" s="107">
        <f>J45*$K$72/100</f>
        <v>7291.729071014487</v>
      </c>
      <c r="L45" s="108">
        <f>J45*$L$72/100</f>
        <v>1241.2767447942954</v>
      </c>
      <c r="M45" s="97">
        <f>J45*$M$72/100</f>
        <v>0</v>
      </c>
      <c r="N45" s="110">
        <f>J45*$N$72/100</f>
        <v>749.5023598996064</v>
      </c>
      <c r="O45" s="108">
        <f>J45*$O$72/100</f>
        <v>26.3130024816111</v>
      </c>
      <c r="P45" s="85">
        <f aca="true" t="shared" si="11" ref="P45:U47">J45/D45-1</f>
        <v>0.1307405014503491</v>
      </c>
      <c r="Q45" s="83">
        <f t="shared" si="11"/>
        <v>0.17315245290233894</v>
      </c>
      <c r="R45" s="84">
        <f t="shared" si="11"/>
        <v>0.050149530282821875</v>
      </c>
      <c r="S45" s="85">
        <f t="shared" si="11"/>
        <v>-1</v>
      </c>
      <c r="T45" s="83">
        <f t="shared" si="11"/>
        <v>0.04825504881063836</v>
      </c>
      <c r="U45" s="84">
        <f t="shared" si="11"/>
        <v>-0.7200744416849882</v>
      </c>
      <c r="V45" s="195" t="s">
        <v>166</v>
      </c>
    </row>
    <row r="46" spans="1:22" ht="18.75" outlineLevel="1">
      <c r="A46" s="60" t="s">
        <v>63</v>
      </c>
      <c r="B46" s="61" t="s">
        <v>167</v>
      </c>
      <c r="C46" s="62" t="s">
        <v>15</v>
      </c>
      <c r="D46" s="88">
        <f>E46+F46+G46+H46+I46</f>
        <v>312</v>
      </c>
      <c r="E46" s="64">
        <v>236</v>
      </c>
      <c r="F46" s="65">
        <v>45</v>
      </c>
      <c r="G46" s="67">
        <v>1</v>
      </c>
      <c r="H46" s="68">
        <v>26</v>
      </c>
      <c r="I46" s="66">
        <v>4</v>
      </c>
      <c r="J46" s="88">
        <f>'[3]исполнение тар.сметы-правда '!$DA$32</f>
        <v>530.8874789399999</v>
      </c>
      <c r="K46" s="64">
        <f>J46*K72/100</f>
        <v>415.85154441403506</v>
      </c>
      <c r="L46" s="65">
        <f>J46*L72/100</f>
        <v>70.79073376708956</v>
      </c>
      <c r="M46" s="67">
        <f>J46*M72/100</f>
        <v>0</v>
      </c>
      <c r="N46" s="68">
        <f>J46*N72/100</f>
        <v>42.74455494310508</v>
      </c>
      <c r="O46" s="66">
        <f>J46*O72/100</f>
        <v>1.5006458157702682</v>
      </c>
      <c r="P46" s="85">
        <f t="shared" si="11"/>
        <v>0.7015624324999998</v>
      </c>
      <c r="Q46" s="83">
        <f t="shared" si="11"/>
        <v>0.7620828153137078</v>
      </c>
      <c r="R46" s="84">
        <f t="shared" si="11"/>
        <v>0.5731274170464347</v>
      </c>
      <c r="S46" s="85">
        <f t="shared" si="11"/>
        <v>-1</v>
      </c>
      <c r="T46" s="83">
        <f t="shared" si="11"/>
        <v>0.64402134396558</v>
      </c>
      <c r="U46" s="84">
        <f t="shared" si="11"/>
        <v>-0.6248385460574329</v>
      </c>
      <c r="V46" s="224"/>
    </row>
    <row r="47" spans="1:22" ht="24" customHeight="1">
      <c r="A47" s="427">
        <v>6</v>
      </c>
      <c r="B47" s="111" t="s">
        <v>168</v>
      </c>
      <c r="C47" s="112" t="s">
        <v>15</v>
      </c>
      <c r="D47" s="103">
        <f>SUM(E47:I47)</f>
        <v>24022.0340685326</v>
      </c>
      <c r="E47" s="101">
        <f>E49+E51+E52+E53+E54+E55+E60+E61+E62+E63+E64+E65+E50</f>
        <v>18134.858139391585</v>
      </c>
      <c r="F47" s="105">
        <f>F49+F51+F52+F53+F54+F55+F60+F61+F62+F63+F64+F65+F50</f>
        <v>3428.5</v>
      </c>
      <c r="G47" s="101">
        <f>G49+G51+G52+G53+G54+G55+G60+G61+G62+G63+G64+G65+G50</f>
        <v>70.4</v>
      </c>
      <c r="H47" s="113">
        <f>H49+H51+H52+H53+H54+H55+H60+H61+H62+H63+H64+H65+H50</f>
        <v>2093.5</v>
      </c>
      <c r="I47" s="81">
        <f>I49+I51+I52+I53+I54+I55+I60+I61+I62+I63+I64+I65+I50</f>
        <v>294.77592914101535</v>
      </c>
      <c r="J47" s="103">
        <f aca="true" t="shared" si="12" ref="J47:O47">J49+J51+J52+J53+J54+J55+J60+J61+J62+J63+J64+J65+J50</f>
        <v>28047.808410478603</v>
      </c>
      <c r="K47" s="101">
        <f t="shared" si="12"/>
        <v>21970.23834168201</v>
      </c>
      <c r="L47" s="105">
        <f t="shared" si="12"/>
        <v>3740.0108623788556</v>
      </c>
      <c r="M47" s="101">
        <f t="shared" si="12"/>
        <v>0</v>
      </c>
      <c r="N47" s="113">
        <f t="shared" si="12"/>
        <v>2258.277196571223</v>
      </c>
      <c r="O47" s="81">
        <f t="shared" si="12"/>
        <v>79.28200984651168</v>
      </c>
      <c r="P47" s="82">
        <f t="shared" si="11"/>
        <v>0.16758673851102057</v>
      </c>
      <c r="Q47" s="86">
        <f t="shared" si="11"/>
        <v>0.2114921535536809</v>
      </c>
      <c r="R47" s="87">
        <f t="shared" si="11"/>
        <v>0.0908592277610778</v>
      </c>
      <c r="S47" s="82">
        <f t="shared" si="11"/>
        <v>-1</v>
      </c>
      <c r="T47" s="86">
        <f t="shared" si="11"/>
        <v>0.07870895465546845</v>
      </c>
      <c r="U47" s="87">
        <f t="shared" si="11"/>
        <v>-0.7310431347717519</v>
      </c>
      <c r="V47" s="224"/>
    </row>
    <row r="48" spans="1:22" ht="18.75">
      <c r="A48" s="427"/>
      <c r="B48" s="61" t="s">
        <v>143</v>
      </c>
      <c r="C48" s="62" t="s">
        <v>15</v>
      </c>
      <c r="D48" s="88"/>
      <c r="E48" s="64"/>
      <c r="F48" s="65"/>
      <c r="G48" s="67"/>
      <c r="H48" s="68"/>
      <c r="I48" s="66"/>
      <c r="J48" s="88"/>
      <c r="K48" s="64"/>
      <c r="L48" s="65"/>
      <c r="M48" s="67"/>
      <c r="N48" s="68"/>
      <c r="O48" s="66"/>
      <c r="P48" s="82"/>
      <c r="Q48" s="83"/>
      <c r="R48" s="84"/>
      <c r="S48" s="85"/>
      <c r="T48" s="83"/>
      <c r="U48" s="84"/>
      <c r="V48" s="224"/>
    </row>
    <row r="49" spans="1:22" ht="57" customHeight="1">
      <c r="A49" s="60" t="s">
        <v>29</v>
      </c>
      <c r="B49" s="61" t="s">
        <v>169</v>
      </c>
      <c r="C49" s="62" t="s">
        <v>15</v>
      </c>
      <c r="D49" s="88">
        <f aca="true" t="shared" si="13" ref="D49:D54">E49+F49+G49+H49+I49</f>
        <v>66.02542372881355</v>
      </c>
      <c r="E49" s="64">
        <v>49.77966101694915</v>
      </c>
      <c r="F49" s="65">
        <v>10</v>
      </c>
      <c r="G49" s="67">
        <v>0</v>
      </c>
      <c r="H49" s="68">
        <v>5.5</v>
      </c>
      <c r="I49" s="66">
        <v>0.7457627118644068</v>
      </c>
      <c r="J49" s="88">
        <f>'[3]исполнение тар.сметы-правда '!$DA$35</f>
        <v>171.33820704</v>
      </c>
      <c r="K49" s="64">
        <f aca="true" t="shared" si="14" ref="K49:K65">J49*$K$72/100</f>
        <v>134.2116000870467</v>
      </c>
      <c r="L49" s="65">
        <f aca="true" t="shared" si="15" ref="L49:L65">J49*$L$72/100</f>
        <v>22.846945689728585</v>
      </c>
      <c r="M49" s="67">
        <f aca="true" t="shared" si="16" ref="M49:M65">J49*$M$72/100</f>
        <v>0</v>
      </c>
      <c r="N49" s="68">
        <f aca="true" t="shared" si="17" ref="N49:N65">J49*$N$72/100</f>
        <v>13.795344013947094</v>
      </c>
      <c r="O49" s="66">
        <f aca="true" t="shared" si="18" ref="O49:O65">J49*$O$72/100</f>
        <v>0.4843172492776288</v>
      </c>
      <c r="P49" s="85">
        <f aca="true" t="shared" si="19" ref="P49:U51">J49/D49-1</f>
        <v>1.5950338121832885</v>
      </c>
      <c r="Q49" s="83">
        <f t="shared" si="19"/>
        <v>1.6961131784595693</v>
      </c>
      <c r="R49" s="84">
        <f t="shared" si="19"/>
        <v>1.2846945689728586</v>
      </c>
      <c r="S49" s="85" t="e">
        <f t="shared" si="19"/>
        <v>#DIV/0!</v>
      </c>
      <c r="T49" s="83">
        <f t="shared" si="19"/>
        <v>1.5082443661721991</v>
      </c>
      <c r="U49" s="84">
        <f t="shared" si="19"/>
        <v>-0.35057459755954323</v>
      </c>
      <c r="V49" s="232" t="s">
        <v>170</v>
      </c>
    </row>
    <row r="50" spans="1:22" ht="48" customHeight="1">
      <c r="A50" s="60" t="s">
        <v>30</v>
      </c>
      <c r="B50" s="61" t="s">
        <v>171</v>
      </c>
      <c r="C50" s="62" t="s">
        <v>15</v>
      </c>
      <c r="D50" s="88">
        <f t="shared" si="13"/>
        <v>1761.5385681293303</v>
      </c>
      <c r="E50" s="64">
        <v>1329.6385681293302</v>
      </c>
      <c r="F50" s="65">
        <v>252</v>
      </c>
      <c r="G50" s="67">
        <v>4.9</v>
      </c>
      <c r="H50" s="68">
        <v>145</v>
      </c>
      <c r="I50" s="66">
        <v>30</v>
      </c>
      <c r="J50" s="88">
        <f>'[3]исполнение тар.сметы-правда '!$DA$36</f>
        <v>2413.1090225432627</v>
      </c>
      <c r="K50" s="64">
        <f t="shared" si="14"/>
        <v>1890.2218524115387</v>
      </c>
      <c r="L50" s="65">
        <f t="shared" si="15"/>
        <v>321.7739448421391</v>
      </c>
      <c r="M50" s="67">
        <f t="shared" si="16"/>
        <v>0</v>
      </c>
      <c r="N50" s="68">
        <f t="shared" si="17"/>
        <v>194.29215283764606</v>
      </c>
      <c r="O50" s="66">
        <f t="shared" si="18"/>
        <v>6.8210724519390915</v>
      </c>
      <c r="P50" s="85">
        <f t="shared" si="19"/>
        <v>0.3698871351456523</v>
      </c>
      <c r="Q50" s="83">
        <f t="shared" si="19"/>
        <v>0.42160576394146987</v>
      </c>
      <c r="R50" s="84">
        <f t="shared" si="19"/>
        <v>0.27688073350055187</v>
      </c>
      <c r="S50" s="85">
        <f t="shared" si="19"/>
        <v>-1</v>
      </c>
      <c r="T50" s="83">
        <f t="shared" si="19"/>
        <v>0.33994588163893824</v>
      </c>
      <c r="U50" s="84">
        <f t="shared" si="19"/>
        <v>-0.772630918268697</v>
      </c>
      <c r="V50" s="225" t="s">
        <v>172</v>
      </c>
    </row>
    <row r="51" spans="1:23" ht="18.75">
      <c r="A51" s="60" t="s">
        <v>32</v>
      </c>
      <c r="B51" s="61" t="s">
        <v>173</v>
      </c>
      <c r="C51" s="62" t="s">
        <v>15</v>
      </c>
      <c r="D51" s="88">
        <f t="shared" si="13"/>
        <v>1280.5</v>
      </c>
      <c r="E51" s="64">
        <v>968</v>
      </c>
      <c r="F51" s="65">
        <v>183</v>
      </c>
      <c r="G51" s="67">
        <v>3.5</v>
      </c>
      <c r="H51" s="68">
        <v>111</v>
      </c>
      <c r="I51" s="66">
        <v>15</v>
      </c>
      <c r="J51" s="88">
        <f>'[3]исполнение тар.сметы-правда '!$DA$37</f>
        <v>1872.6407930945002</v>
      </c>
      <c r="K51" s="64">
        <f t="shared" si="14"/>
        <v>1466.8655729005873</v>
      </c>
      <c r="L51" s="65">
        <f t="shared" si="15"/>
        <v>249.7056741478104</v>
      </c>
      <c r="M51" s="67">
        <f t="shared" si="16"/>
        <v>0</v>
      </c>
      <c r="N51" s="68">
        <f t="shared" si="17"/>
        <v>150.77620106797494</v>
      </c>
      <c r="O51" s="66">
        <f t="shared" si="18"/>
        <v>5.293344978127802</v>
      </c>
      <c r="P51" s="85">
        <f t="shared" si="19"/>
        <v>0.462429358137056</v>
      </c>
      <c r="Q51" s="83">
        <f t="shared" si="19"/>
        <v>0.5153569967981273</v>
      </c>
      <c r="R51" s="84">
        <f t="shared" si="19"/>
        <v>0.36451188058912787</v>
      </c>
      <c r="S51" s="85">
        <f t="shared" si="19"/>
        <v>-1</v>
      </c>
      <c r="T51" s="83">
        <f t="shared" si="19"/>
        <v>0.3583441537655401</v>
      </c>
      <c r="U51" s="84">
        <f t="shared" si="19"/>
        <v>-0.6471103347914798</v>
      </c>
      <c r="V51" s="224"/>
      <c r="W51" s="114"/>
    </row>
    <row r="52" spans="1:22" ht="35.25" customHeight="1" hidden="1">
      <c r="A52" s="60"/>
      <c r="B52" s="61"/>
      <c r="C52" s="62"/>
      <c r="D52" s="88"/>
      <c r="E52" s="64"/>
      <c r="F52" s="65"/>
      <c r="G52" s="67"/>
      <c r="H52" s="68"/>
      <c r="I52" s="66"/>
      <c r="J52" s="88"/>
      <c r="K52" s="64">
        <f t="shared" si="14"/>
        <v>0</v>
      </c>
      <c r="L52" s="65">
        <f t="shared" si="15"/>
        <v>0</v>
      </c>
      <c r="M52" s="67">
        <f t="shared" si="16"/>
        <v>0</v>
      </c>
      <c r="N52" s="68">
        <f t="shared" si="17"/>
        <v>0</v>
      </c>
      <c r="O52" s="66">
        <f t="shared" si="18"/>
        <v>0</v>
      </c>
      <c r="P52" s="85"/>
      <c r="Q52" s="83"/>
      <c r="R52" s="84"/>
      <c r="S52" s="85"/>
      <c r="T52" s="83"/>
      <c r="U52" s="84"/>
      <c r="V52" s="224"/>
    </row>
    <row r="53" spans="1:22" ht="18.75">
      <c r="A53" s="115" t="s">
        <v>34</v>
      </c>
      <c r="B53" s="61" t="s">
        <v>174</v>
      </c>
      <c r="C53" s="62" t="s">
        <v>15</v>
      </c>
      <c r="D53" s="88">
        <f t="shared" si="13"/>
        <v>6261.1909479569185</v>
      </c>
      <c r="E53" s="64">
        <v>4727.53629861054</v>
      </c>
      <c r="F53" s="65">
        <v>894.5</v>
      </c>
      <c r="G53" s="67">
        <v>19</v>
      </c>
      <c r="H53" s="68">
        <v>545</v>
      </c>
      <c r="I53" s="66">
        <v>75.15464934637836</v>
      </c>
      <c r="J53" s="88">
        <f>'[3]исполнение тар.сметы-правда '!$DA$38</f>
        <v>7030.6511595988195</v>
      </c>
      <c r="K53" s="64">
        <f t="shared" si="14"/>
        <v>5507.206816768659</v>
      </c>
      <c r="L53" s="65">
        <f t="shared" si="15"/>
        <v>937.4961252470778</v>
      </c>
      <c r="M53" s="67">
        <f t="shared" si="16"/>
        <v>0</v>
      </c>
      <c r="N53" s="68">
        <f t="shared" si="17"/>
        <v>566.0748589838972</v>
      </c>
      <c r="O53" s="66">
        <f t="shared" si="18"/>
        <v>19.873358599185863</v>
      </c>
      <c r="P53" s="85">
        <f aca="true" t="shared" si="20" ref="P53:U55">J53/D53-1</f>
        <v>0.1228935865457006</v>
      </c>
      <c r="Q53" s="83">
        <f t="shared" si="20"/>
        <v>0.16492110666337356</v>
      </c>
      <c r="R53" s="84">
        <f t="shared" si="20"/>
        <v>0.04806721659818636</v>
      </c>
      <c r="S53" s="85">
        <f t="shared" si="20"/>
        <v>-1</v>
      </c>
      <c r="T53" s="83">
        <f t="shared" si="20"/>
        <v>0.03866946602549959</v>
      </c>
      <c r="U53" s="84">
        <f t="shared" si="20"/>
        <v>-0.7355671435895863</v>
      </c>
      <c r="V53" s="224"/>
    </row>
    <row r="54" spans="1:22" ht="18.75">
      <c r="A54" s="60" t="s">
        <v>35</v>
      </c>
      <c r="B54" s="61" t="s">
        <v>175</v>
      </c>
      <c r="C54" s="62" t="s">
        <v>15</v>
      </c>
      <c r="D54" s="88">
        <f t="shared" si="13"/>
        <v>4126.596958174905</v>
      </c>
      <c r="E54" s="64">
        <v>3115.417617237009</v>
      </c>
      <c r="F54" s="65">
        <v>589.5</v>
      </c>
      <c r="G54" s="67">
        <v>12</v>
      </c>
      <c r="H54" s="68">
        <v>360</v>
      </c>
      <c r="I54" s="66">
        <v>49.67934093789607</v>
      </c>
      <c r="J54" s="88">
        <f>'[3]исполнение тар.сметы-правда '!$DA$39</f>
        <v>4907.199527692021</v>
      </c>
      <c r="K54" s="64">
        <f t="shared" si="14"/>
        <v>3843.8776262213996</v>
      </c>
      <c r="L54" s="65">
        <f t="shared" si="15"/>
        <v>654.3462957544988</v>
      </c>
      <c r="M54" s="67">
        <f t="shared" si="16"/>
        <v>0</v>
      </c>
      <c r="N54" s="68">
        <f t="shared" si="17"/>
        <v>395.1045525636086</v>
      </c>
      <c r="O54" s="66">
        <f t="shared" si="18"/>
        <v>13.871053152513946</v>
      </c>
      <c r="P54" s="85">
        <f t="shared" si="20"/>
        <v>0.18916375343386038</v>
      </c>
      <c r="Q54" s="83">
        <f t="shared" si="20"/>
        <v>0.23382419260710385</v>
      </c>
      <c r="R54" s="84">
        <f t="shared" si="20"/>
        <v>0.11000219805682576</v>
      </c>
      <c r="S54" s="85">
        <f t="shared" si="20"/>
        <v>-1</v>
      </c>
      <c r="T54" s="83">
        <f t="shared" si="20"/>
        <v>0.09751264601002396</v>
      </c>
      <c r="U54" s="84">
        <f t="shared" si="20"/>
        <v>-0.7207883017237671</v>
      </c>
      <c r="V54" s="224"/>
    </row>
    <row r="55" spans="1:22" ht="18.75" customHeight="1">
      <c r="A55" s="430" t="s">
        <v>36</v>
      </c>
      <c r="B55" s="61" t="s">
        <v>176</v>
      </c>
      <c r="C55" s="62" t="s">
        <v>15</v>
      </c>
      <c r="D55" s="88">
        <f>SUM(E55:I55)</f>
        <v>735</v>
      </c>
      <c r="E55" s="64">
        <v>556</v>
      </c>
      <c r="F55" s="65">
        <v>105</v>
      </c>
      <c r="G55" s="67">
        <f>G57+G58+G59</f>
        <v>2</v>
      </c>
      <c r="H55" s="68">
        <v>63</v>
      </c>
      <c r="I55" s="66">
        <f>I57+I58+I59</f>
        <v>9</v>
      </c>
      <c r="J55" s="88">
        <f>J57+J58+J59</f>
        <v>754.29300975</v>
      </c>
      <c r="K55" s="64">
        <f t="shared" si="14"/>
        <v>590.8482032229267</v>
      </c>
      <c r="L55" s="65">
        <f t="shared" si="15"/>
        <v>100.58055191319323</v>
      </c>
      <c r="M55" s="67">
        <f t="shared" si="16"/>
        <v>0</v>
      </c>
      <c r="N55" s="68">
        <f t="shared" si="17"/>
        <v>60.732114200235074</v>
      </c>
      <c r="O55" s="66">
        <f t="shared" si="18"/>
        <v>2.1321404136450317</v>
      </c>
      <c r="P55" s="85">
        <f t="shared" si="20"/>
        <v>0.026248992857142772</v>
      </c>
      <c r="Q55" s="83">
        <f t="shared" si="20"/>
        <v>0.06267662450166678</v>
      </c>
      <c r="R55" s="84">
        <f t="shared" si="20"/>
        <v>-0.04208998177911205</v>
      </c>
      <c r="S55" s="85">
        <f t="shared" si="20"/>
        <v>-1</v>
      </c>
      <c r="T55" s="83">
        <f t="shared" si="20"/>
        <v>-0.03599818729785598</v>
      </c>
      <c r="U55" s="84">
        <f t="shared" si="20"/>
        <v>-0.7630955095949965</v>
      </c>
      <c r="V55" s="216"/>
    </row>
    <row r="56" spans="1:22" ht="19.5" customHeight="1">
      <c r="A56" s="430"/>
      <c r="B56" s="61" t="s">
        <v>143</v>
      </c>
      <c r="C56" s="62" t="s">
        <v>15</v>
      </c>
      <c r="D56" s="88"/>
      <c r="E56" s="64"/>
      <c r="F56" s="65"/>
      <c r="G56" s="67"/>
      <c r="H56" s="68"/>
      <c r="I56" s="66"/>
      <c r="J56" s="88"/>
      <c r="K56" s="64">
        <f t="shared" si="14"/>
        <v>0</v>
      </c>
      <c r="L56" s="65">
        <f t="shared" si="15"/>
        <v>0</v>
      </c>
      <c r="M56" s="67">
        <f t="shared" si="16"/>
        <v>0</v>
      </c>
      <c r="N56" s="68">
        <f t="shared" si="17"/>
        <v>0</v>
      </c>
      <c r="O56" s="66">
        <f t="shared" si="18"/>
        <v>0</v>
      </c>
      <c r="P56" s="85"/>
      <c r="Q56" s="83"/>
      <c r="R56" s="84"/>
      <c r="S56" s="85"/>
      <c r="T56" s="83"/>
      <c r="U56" s="84"/>
      <c r="V56" s="224"/>
    </row>
    <row r="57" spans="1:22" ht="47.25">
      <c r="A57" s="430"/>
      <c r="B57" s="61" t="s">
        <v>177</v>
      </c>
      <c r="C57" s="62" t="s">
        <v>15</v>
      </c>
      <c r="D57" s="88">
        <f aca="true" t="shared" si="21" ref="D57:D65">E57+F57+G57+H57+I57</f>
        <v>4</v>
      </c>
      <c r="E57" s="64">
        <v>4</v>
      </c>
      <c r="F57" s="65">
        <v>0</v>
      </c>
      <c r="G57" s="67">
        <v>0</v>
      </c>
      <c r="H57" s="68">
        <v>0</v>
      </c>
      <c r="I57" s="66">
        <v>0</v>
      </c>
      <c r="J57" s="88">
        <f>'[3]исполнение тар.сметы-правда '!$DA$42</f>
        <v>10.440389699999999</v>
      </c>
      <c r="K57" s="64">
        <f t="shared" si="14"/>
        <v>8.178102428970774</v>
      </c>
      <c r="L57" s="65">
        <f t="shared" si="15"/>
        <v>1.3921647750160895</v>
      </c>
      <c r="M57" s="67">
        <f t="shared" si="16"/>
        <v>0</v>
      </c>
      <c r="N57" s="68">
        <f t="shared" si="17"/>
        <v>0.8406109182498068</v>
      </c>
      <c r="O57" s="66">
        <f t="shared" si="18"/>
        <v>0.02951157776332996</v>
      </c>
      <c r="P57" s="85">
        <f aca="true" t="shared" si="22" ref="P57:U66">J57/D57-1</f>
        <v>1.6100974249999997</v>
      </c>
      <c r="Q57" s="83">
        <f t="shared" si="22"/>
        <v>1.0445256072426936</v>
      </c>
      <c r="R57" s="84"/>
      <c r="S57" s="85"/>
      <c r="T57" s="83"/>
      <c r="U57" s="84"/>
      <c r="V57" s="194" t="s">
        <v>178</v>
      </c>
    </row>
    <row r="58" spans="1:22" ht="31.5">
      <c r="A58" s="430"/>
      <c r="B58" s="61" t="s">
        <v>179</v>
      </c>
      <c r="C58" s="62" t="s">
        <v>15</v>
      </c>
      <c r="D58" s="88">
        <f t="shared" si="21"/>
        <v>109</v>
      </c>
      <c r="E58" s="64">
        <v>82</v>
      </c>
      <c r="F58" s="65">
        <v>16</v>
      </c>
      <c r="G58" s="67">
        <v>0</v>
      </c>
      <c r="H58" s="68">
        <v>9</v>
      </c>
      <c r="I58" s="66">
        <v>2</v>
      </c>
      <c r="J58" s="88">
        <f>'[3]исполнение тар.сметы-правда '!$DA$43</f>
        <v>152.85262005</v>
      </c>
      <c r="K58" s="64">
        <f t="shared" si="14"/>
        <v>119.73158274977533</v>
      </c>
      <c r="L58" s="65">
        <f t="shared" si="15"/>
        <v>20.38200100926578</v>
      </c>
      <c r="M58" s="67">
        <f t="shared" si="16"/>
        <v>0</v>
      </c>
      <c r="N58" s="68">
        <f t="shared" si="17"/>
        <v>12.306971769178247</v>
      </c>
      <c r="O58" s="66">
        <f t="shared" si="18"/>
        <v>0.4320645217806672</v>
      </c>
      <c r="P58" s="85">
        <f t="shared" si="22"/>
        <v>0.4023176151376149</v>
      </c>
      <c r="Q58" s="83">
        <f t="shared" si="22"/>
        <v>0.4601412530460405</v>
      </c>
      <c r="R58" s="84">
        <f t="shared" si="22"/>
        <v>0.27387506307911136</v>
      </c>
      <c r="S58" s="85"/>
      <c r="T58" s="83">
        <f aca="true" t="shared" si="23" ref="T58:U61">N58/H58-1</f>
        <v>0.367441307686472</v>
      </c>
      <c r="U58" s="84">
        <f t="shared" si="23"/>
        <v>-0.7839677391096664</v>
      </c>
      <c r="V58" s="194" t="s">
        <v>180</v>
      </c>
    </row>
    <row r="59" spans="1:22" ht="15.75">
      <c r="A59" s="430"/>
      <c r="B59" s="61" t="s">
        <v>181</v>
      </c>
      <c r="C59" s="62" t="s">
        <v>15</v>
      </c>
      <c r="D59" s="88">
        <f t="shared" si="21"/>
        <v>622</v>
      </c>
      <c r="E59" s="64">
        <v>470</v>
      </c>
      <c r="F59" s="65">
        <v>89</v>
      </c>
      <c r="G59" s="67">
        <v>2</v>
      </c>
      <c r="H59" s="68">
        <v>54</v>
      </c>
      <c r="I59" s="66">
        <v>7</v>
      </c>
      <c r="J59" s="88">
        <f>'[3]исполнение тар.сметы-правда '!$DA$44</f>
        <v>591</v>
      </c>
      <c r="K59" s="64">
        <f t="shared" si="14"/>
        <v>462.9385180441807</v>
      </c>
      <c r="L59" s="65">
        <f t="shared" si="15"/>
        <v>78.80638612891136</v>
      </c>
      <c r="M59" s="67">
        <f t="shared" si="16"/>
        <v>0</v>
      </c>
      <c r="N59" s="68">
        <f t="shared" si="17"/>
        <v>47.584531512807025</v>
      </c>
      <c r="O59" s="66">
        <f t="shared" si="18"/>
        <v>1.6705643141010347</v>
      </c>
      <c r="P59" s="85">
        <f t="shared" si="22"/>
        <v>-0.04983922829581988</v>
      </c>
      <c r="Q59" s="83">
        <f t="shared" si="22"/>
        <v>-0.015024429693232588</v>
      </c>
      <c r="R59" s="84">
        <f t="shared" si="22"/>
        <v>-0.11453498731560274</v>
      </c>
      <c r="S59" s="85">
        <f>M59/G59-1</f>
        <v>-1</v>
      </c>
      <c r="T59" s="83">
        <f t="shared" si="23"/>
        <v>-0.11880497198505513</v>
      </c>
      <c r="U59" s="84">
        <f t="shared" si="23"/>
        <v>-0.7613479551284237</v>
      </c>
      <c r="V59" s="18" t="s">
        <v>182</v>
      </c>
    </row>
    <row r="60" spans="1:22" ht="18.75">
      <c r="A60" s="60" t="s">
        <v>39</v>
      </c>
      <c r="B60" s="61" t="s">
        <v>183</v>
      </c>
      <c r="C60" s="62" t="s">
        <v>15</v>
      </c>
      <c r="D60" s="88">
        <f t="shared" si="21"/>
        <v>8323.123347013223</v>
      </c>
      <c r="E60" s="64">
        <v>6283.049019607843</v>
      </c>
      <c r="F60" s="65">
        <v>1189.5</v>
      </c>
      <c r="G60" s="67">
        <v>25</v>
      </c>
      <c r="H60" s="68">
        <v>725</v>
      </c>
      <c r="I60" s="65">
        <v>100.57432740538076</v>
      </c>
      <c r="J60" s="88">
        <f>'[3]исполнение тар.сметы-правда '!$DA$45</f>
        <v>8381.055430799997</v>
      </c>
      <c r="K60" s="64">
        <f t="shared" si="14"/>
        <v>6564.997260204201</v>
      </c>
      <c r="L60" s="65">
        <f t="shared" si="15"/>
        <v>1117.5646200464198</v>
      </c>
      <c r="M60" s="67">
        <f t="shared" si="16"/>
        <v>0</v>
      </c>
      <c r="N60" s="68">
        <f t="shared" si="17"/>
        <v>674.8030393527664</v>
      </c>
      <c r="O60" s="65">
        <f t="shared" si="18"/>
        <v>23.690511196611084</v>
      </c>
      <c r="P60" s="72">
        <f t="shared" si="22"/>
        <v>0.006960377897987424</v>
      </c>
      <c r="Q60" s="70">
        <f t="shared" si="22"/>
        <v>0.044874429551077455</v>
      </c>
      <c r="R60" s="71">
        <f t="shared" si="22"/>
        <v>-0.06047530891431707</v>
      </c>
      <c r="S60" s="72">
        <f>M60/G60-1</f>
        <v>-1</v>
      </c>
      <c r="T60" s="70">
        <f t="shared" si="23"/>
        <v>-0.06923718709963256</v>
      </c>
      <c r="U60" s="71">
        <f t="shared" si="23"/>
        <v>-0.7644477292786386</v>
      </c>
      <c r="V60" s="224"/>
    </row>
    <row r="61" spans="1:25" ht="31.5">
      <c r="A61" s="60" t="s">
        <v>41</v>
      </c>
      <c r="B61" s="61" t="s">
        <v>184</v>
      </c>
      <c r="C61" s="62" t="s">
        <v>15</v>
      </c>
      <c r="D61" s="88">
        <f t="shared" si="21"/>
        <v>169</v>
      </c>
      <c r="E61" s="64">
        <v>126.99999999999999</v>
      </c>
      <c r="F61" s="65">
        <v>24</v>
      </c>
      <c r="G61" s="67">
        <v>1</v>
      </c>
      <c r="H61" s="68">
        <v>15</v>
      </c>
      <c r="I61" s="65">
        <v>2</v>
      </c>
      <c r="J61" s="88">
        <f>'[3]исполнение тар.сметы-правда '!$DA$46</f>
        <v>346.39015151999996</v>
      </c>
      <c r="K61" s="64">
        <f t="shared" si="14"/>
        <v>271.33222235155324</v>
      </c>
      <c r="L61" s="65">
        <f t="shared" si="15"/>
        <v>46.18909650073981</v>
      </c>
      <c r="M61" s="67">
        <f t="shared" si="16"/>
        <v>0</v>
      </c>
      <c r="N61" s="68">
        <f t="shared" si="17"/>
        <v>27.889700644212244</v>
      </c>
      <c r="O61" s="65">
        <f t="shared" si="18"/>
        <v>0.9791320234946906</v>
      </c>
      <c r="P61" s="85">
        <f t="shared" si="22"/>
        <v>1.0496458669822482</v>
      </c>
      <c r="Q61" s="83">
        <f t="shared" si="22"/>
        <v>1.1364741917445138</v>
      </c>
      <c r="R61" s="84">
        <f t="shared" si="22"/>
        <v>0.9245456875308253</v>
      </c>
      <c r="S61" s="85"/>
      <c r="T61" s="83">
        <f t="shared" si="23"/>
        <v>0.8593133762808163</v>
      </c>
      <c r="U61" s="84">
        <f t="shared" si="23"/>
        <v>-0.5104339882526547</v>
      </c>
      <c r="V61" s="225" t="s">
        <v>185</v>
      </c>
      <c r="Y61" s="1" t="s">
        <v>66</v>
      </c>
    </row>
    <row r="62" spans="1:22" ht="110.25">
      <c r="A62" s="92" t="s">
        <v>62</v>
      </c>
      <c r="B62" s="91" t="s">
        <v>186</v>
      </c>
      <c r="C62" s="93" t="s">
        <v>15</v>
      </c>
      <c r="D62" s="96">
        <f t="shared" si="21"/>
        <v>296</v>
      </c>
      <c r="E62" s="94">
        <v>222</v>
      </c>
      <c r="F62" s="95">
        <v>37</v>
      </c>
      <c r="G62" s="97">
        <v>0</v>
      </c>
      <c r="H62" s="94">
        <v>37</v>
      </c>
      <c r="I62" s="95">
        <v>0</v>
      </c>
      <c r="J62" s="96">
        <f>'[3]исполнение тар.сметы-правда '!$DA$47</f>
        <v>808.23770001</v>
      </c>
      <c r="K62" s="94">
        <f t="shared" si="14"/>
        <v>633.1038292217706</v>
      </c>
      <c r="L62" s="95">
        <f t="shared" si="15"/>
        <v>107.77376018770097</v>
      </c>
      <c r="M62" s="97">
        <f t="shared" si="16"/>
        <v>0</v>
      </c>
      <c r="N62" s="94">
        <f t="shared" si="17"/>
        <v>65.07548613530375</v>
      </c>
      <c r="O62" s="95">
        <f t="shared" si="18"/>
        <v>2.28462446522471</v>
      </c>
      <c r="P62" s="85">
        <f t="shared" si="22"/>
        <v>1.730532770304054</v>
      </c>
      <c r="Q62" s="83">
        <f t="shared" si="22"/>
        <v>1.8518190505485164</v>
      </c>
      <c r="R62" s="84">
        <f t="shared" si="22"/>
        <v>1.9128043293973236</v>
      </c>
      <c r="S62" s="85"/>
      <c r="T62" s="83">
        <f>N62/H62-1</f>
        <v>0.7587969225757769</v>
      </c>
      <c r="U62" s="84"/>
      <c r="V62" s="226" t="s">
        <v>187</v>
      </c>
    </row>
    <row r="63" spans="1:22" ht="47.25">
      <c r="A63" s="60" t="s">
        <v>44</v>
      </c>
      <c r="B63" s="61" t="s">
        <v>188</v>
      </c>
      <c r="C63" s="62" t="s">
        <v>15</v>
      </c>
      <c r="D63" s="88">
        <f t="shared" si="21"/>
        <v>56</v>
      </c>
      <c r="E63" s="64">
        <v>42</v>
      </c>
      <c r="F63" s="65">
        <v>8</v>
      </c>
      <c r="G63" s="67">
        <v>0</v>
      </c>
      <c r="H63" s="64">
        <v>5</v>
      </c>
      <c r="I63" s="65">
        <v>1</v>
      </c>
      <c r="J63" s="88">
        <f>'[3]исполнение тар.сметы-правда '!$DA$48</f>
        <v>343.3557324599999</v>
      </c>
      <c r="K63" s="64">
        <f t="shared" si="14"/>
        <v>268.95531970728683</v>
      </c>
      <c r="L63" s="65">
        <f t="shared" si="15"/>
        <v>45.78447450392205</v>
      </c>
      <c r="M63" s="67">
        <f t="shared" si="16"/>
        <v>0</v>
      </c>
      <c r="N63" s="64">
        <f t="shared" si="17"/>
        <v>27.64538353865618</v>
      </c>
      <c r="O63" s="65">
        <f t="shared" si="18"/>
        <v>0.9705547101348528</v>
      </c>
      <c r="P63" s="85">
        <f t="shared" si="22"/>
        <v>5.131352365357141</v>
      </c>
      <c r="Q63" s="83">
        <f t="shared" si="22"/>
        <v>5.403698088268734</v>
      </c>
      <c r="R63" s="84">
        <f t="shared" si="22"/>
        <v>4.723059312990256</v>
      </c>
      <c r="S63" s="85"/>
      <c r="T63" s="83">
        <f>N63/H63-1</f>
        <v>4.529076707731236</v>
      </c>
      <c r="U63" s="84">
        <f>O63/I63-1</f>
        <v>-0.02944528986514716</v>
      </c>
      <c r="V63" s="225" t="s">
        <v>189</v>
      </c>
    </row>
    <row r="64" spans="1:22" ht="18.75">
      <c r="A64" s="60" t="s">
        <v>58</v>
      </c>
      <c r="B64" s="61" t="s">
        <v>190</v>
      </c>
      <c r="C64" s="62" t="s">
        <v>15</v>
      </c>
      <c r="D64" s="88">
        <f t="shared" si="21"/>
        <v>208.05882352941174</v>
      </c>
      <c r="E64" s="64">
        <v>156.43697478991595</v>
      </c>
      <c r="F64" s="65">
        <v>30</v>
      </c>
      <c r="G64" s="67">
        <v>1</v>
      </c>
      <c r="H64" s="64">
        <v>18</v>
      </c>
      <c r="I64" s="65">
        <v>2.6218487394957983</v>
      </c>
      <c r="J64" s="88">
        <f>'[3]исполнение тар.сметы-правда '!$DA$49</f>
        <v>215.88767597000003</v>
      </c>
      <c r="K64" s="64">
        <f t="shared" si="14"/>
        <v>169.1078185745416</v>
      </c>
      <c r="L64" s="65">
        <f t="shared" si="15"/>
        <v>28.787356265592415</v>
      </c>
      <c r="M64" s="67">
        <f t="shared" si="16"/>
        <v>0</v>
      </c>
      <c r="N64" s="64">
        <f t="shared" si="17"/>
        <v>17.38225705655015</v>
      </c>
      <c r="O64" s="65">
        <f t="shared" si="18"/>
        <v>0.6102440733158875</v>
      </c>
      <c r="P64" s="85">
        <f t="shared" si="22"/>
        <v>0.037628072233531595</v>
      </c>
      <c r="Q64" s="83">
        <f t="shared" si="22"/>
        <v>0.08099647670662069</v>
      </c>
      <c r="R64" s="84">
        <f t="shared" si="22"/>
        <v>-0.04042145781358619</v>
      </c>
      <c r="S64" s="85">
        <f>M64/G64-1</f>
        <v>-1</v>
      </c>
      <c r="T64" s="83">
        <f>N64/H64-1</f>
        <v>-0.03431905241388067</v>
      </c>
      <c r="U64" s="84">
        <f>O64/I64-1</f>
        <v>-0.767246651523748</v>
      </c>
      <c r="V64" s="224"/>
    </row>
    <row r="65" spans="1:22" ht="18.75">
      <c r="A65" s="92" t="s">
        <v>46</v>
      </c>
      <c r="B65" s="91" t="s">
        <v>6</v>
      </c>
      <c r="C65" s="93" t="s">
        <v>15</v>
      </c>
      <c r="D65" s="96">
        <f t="shared" si="21"/>
        <v>739</v>
      </c>
      <c r="E65" s="94">
        <v>558</v>
      </c>
      <c r="F65" s="95">
        <v>106</v>
      </c>
      <c r="G65" s="97">
        <v>2</v>
      </c>
      <c r="H65" s="94">
        <v>64</v>
      </c>
      <c r="I65" s="95">
        <v>9</v>
      </c>
      <c r="J65" s="96">
        <f>'[3]исполнение тар.сметы-правда '!$DA$50</f>
        <v>803.65</v>
      </c>
      <c r="K65" s="94">
        <f t="shared" si="14"/>
        <v>629.5102200105005</v>
      </c>
      <c r="L65" s="95">
        <f t="shared" si="15"/>
        <v>107.16201728003318</v>
      </c>
      <c r="M65" s="97">
        <f t="shared" si="16"/>
        <v>0</v>
      </c>
      <c r="N65" s="94">
        <f t="shared" si="17"/>
        <v>64.70610617642532</v>
      </c>
      <c r="O65" s="95">
        <f t="shared" si="18"/>
        <v>2.2716565330411105</v>
      </c>
      <c r="P65" s="85">
        <f t="shared" si="22"/>
        <v>0.08748308525033832</v>
      </c>
      <c r="Q65" s="83">
        <f t="shared" si="22"/>
        <v>0.12815451614785034</v>
      </c>
      <c r="R65" s="84">
        <f t="shared" si="22"/>
        <v>0.0109624271701243</v>
      </c>
      <c r="S65" s="85">
        <f>M65/G65-1</f>
        <v>-1</v>
      </c>
      <c r="T65" s="83">
        <f>N65/H65-1</f>
        <v>0.011032909006645664</v>
      </c>
      <c r="U65" s="84">
        <f>O65/I65-1</f>
        <v>-0.7475937185509878</v>
      </c>
      <c r="V65" s="224"/>
    </row>
    <row r="66" spans="1:22" ht="15.75">
      <c r="A66" s="116" t="s">
        <v>47</v>
      </c>
      <c r="B66" s="74" t="s">
        <v>191</v>
      </c>
      <c r="C66" s="75" t="s">
        <v>15</v>
      </c>
      <c r="D66" s="76">
        <f aca="true" t="shared" si="24" ref="D66:O66">D23+D31</f>
        <v>8772276.534068532</v>
      </c>
      <c r="E66" s="77">
        <f t="shared" si="24"/>
        <v>6466211.358139392</v>
      </c>
      <c r="F66" s="78">
        <f t="shared" si="24"/>
        <v>1228642.5</v>
      </c>
      <c r="G66" s="76">
        <f t="shared" si="24"/>
        <v>48632.4</v>
      </c>
      <c r="H66" s="77">
        <f t="shared" si="24"/>
        <v>987645.5</v>
      </c>
      <c r="I66" s="81">
        <f t="shared" si="24"/>
        <v>41145.77592914102</v>
      </c>
      <c r="J66" s="76">
        <f t="shared" si="24"/>
        <v>8983961.027750218</v>
      </c>
      <c r="K66" s="77">
        <f t="shared" si="24"/>
        <v>6895425.422227539</v>
      </c>
      <c r="L66" s="78">
        <f t="shared" si="24"/>
        <v>1131361.6727479615</v>
      </c>
      <c r="M66" s="76">
        <f t="shared" si="24"/>
        <v>0</v>
      </c>
      <c r="N66" s="77">
        <f t="shared" si="24"/>
        <v>947512.8736679417</v>
      </c>
      <c r="O66" s="81">
        <f t="shared" si="24"/>
        <v>9661.059106775583</v>
      </c>
      <c r="P66" s="82">
        <f t="shared" si="22"/>
        <v>0.024131078501638203</v>
      </c>
      <c r="Q66" s="86">
        <f t="shared" si="22"/>
        <v>0.06637798245612103</v>
      </c>
      <c r="R66" s="87">
        <f t="shared" si="22"/>
        <v>-0.07917748836788452</v>
      </c>
      <c r="S66" s="82">
        <f t="shared" si="22"/>
        <v>-1</v>
      </c>
      <c r="T66" s="86">
        <f t="shared" si="22"/>
        <v>-0.04063464707940079</v>
      </c>
      <c r="U66" s="87">
        <f t="shared" si="22"/>
        <v>-0.7651992485592367</v>
      </c>
      <c r="V66" s="20"/>
    </row>
    <row r="67" spans="1:22" ht="94.5">
      <c r="A67" s="116" t="s">
        <v>48</v>
      </c>
      <c r="B67" s="74" t="s">
        <v>192</v>
      </c>
      <c r="C67" s="75" t="s">
        <v>15</v>
      </c>
      <c r="D67" s="89"/>
      <c r="E67" s="77"/>
      <c r="F67" s="78"/>
      <c r="G67" s="79"/>
      <c r="H67" s="117"/>
      <c r="I67" s="81"/>
      <c r="J67" s="89">
        <f>J69-J66</f>
        <v>-584716.2071550395</v>
      </c>
      <c r="K67" s="77">
        <f>J67*K72/100</f>
        <v>-458016.3357305721</v>
      </c>
      <c r="L67" s="78">
        <f>J67*L72/100</f>
        <v>-77968.47918255933</v>
      </c>
      <c r="M67" s="79">
        <f>J67*M72/100</f>
        <v>0</v>
      </c>
      <c r="N67" s="117">
        <f>J67*N72/100</f>
        <v>-47078.590161451735</v>
      </c>
      <c r="O67" s="81">
        <f>J67*O72/100</f>
        <v>-1652.8020804563741</v>
      </c>
      <c r="P67" s="82"/>
      <c r="Q67" s="86"/>
      <c r="R67" s="87"/>
      <c r="S67" s="82"/>
      <c r="T67" s="86"/>
      <c r="U67" s="87"/>
      <c r="V67" s="158" t="s">
        <v>193</v>
      </c>
    </row>
    <row r="68" spans="1:22" ht="30.75" customHeight="1">
      <c r="A68" s="116" t="s">
        <v>50</v>
      </c>
      <c r="B68" s="118" t="s">
        <v>194</v>
      </c>
      <c r="C68" s="75" t="s">
        <v>15</v>
      </c>
      <c r="D68" s="119">
        <f>E68+F68+G68+H68+I68</f>
        <v>46461</v>
      </c>
      <c r="E68" s="94">
        <v>35096</v>
      </c>
      <c r="F68" s="95">
        <v>6663</v>
      </c>
      <c r="G68" s="97">
        <v>104</v>
      </c>
      <c r="H68" s="94">
        <v>4020</v>
      </c>
      <c r="I68" s="95">
        <v>578</v>
      </c>
      <c r="J68" s="119">
        <f>'[6]ОС'!$E$23/1000</f>
        <v>53424.48896928</v>
      </c>
      <c r="K68" s="94">
        <v>31395.791791628813</v>
      </c>
      <c r="L68" s="95">
        <v>5344.530200699093</v>
      </c>
      <c r="M68" s="97">
        <v>0</v>
      </c>
      <c r="N68" s="94">
        <v>3227.1111295511455</v>
      </c>
      <c r="O68" s="95">
        <v>113.29515116094925</v>
      </c>
      <c r="P68" s="82">
        <f aca="true" t="shared" si="25" ref="P68:U70">J68/D68-1</f>
        <v>0.14987815521146763</v>
      </c>
      <c r="Q68" s="86">
        <f t="shared" si="25"/>
        <v>-0.10543105221025717</v>
      </c>
      <c r="R68" s="87">
        <f t="shared" si="25"/>
        <v>-0.19787930351206762</v>
      </c>
      <c r="S68" s="82">
        <f t="shared" si="25"/>
        <v>-1</v>
      </c>
      <c r="T68" s="86">
        <f t="shared" si="25"/>
        <v>-0.19723603742508822</v>
      </c>
      <c r="U68" s="87">
        <f t="shared" si="25"/>
        <v>-0.8039876277492227</v>
      </c>
      <c r="V68" s="224"/>
    </row>
    <row r="69" spans="1:22" ht="18.75">
      <c r="A69" s="116" t="s">
        <v>52</v>
      </c>
      <c r="B69" s="74" t="s">
        <v>195</v>
      </c>
      <c r="C69" s="75" t="s">
        <v>15</v>
      </c>
      <c r="D69" s="76">
        <v>8772277</v>
      </c>
      <c r="E69" s="77">
        <f>E66+E67</f>
        <v>6466211.358139392</v>
      </c>
      <c r="F69" s="78">
        <f>F66+F67</f>
        <v>1228642.5</v>
      </c>
      <c r="G69" s="76">
        <f>G66+G67</f>
        <v>48632.4</v>
      </c>
      <c r="H69" s="77">
        <f>H66+H67</f>
        <v>987645.5</v>
      </c>
      <c r="I69" s="81">
        <f>I66+I67</f>
        <v>41145.77592914102</v>
      </c>
      <c r="J69" s="76">
        <f>SUM(K69:O69)</f>
        <v>8399244.820595179</v>
      </c>
      <c r="K69" s="77">
        <f>('[2]г.Павлодар продолж. '!$AA$1572+'[2]г.Павлодар продолж. '!$AA$1692+'[2]г.Павлодар продолж. '!$AA$1857)</f>
        <v>6653882.559011039</v>
      </c>
      <c r="L69" s="78">
        <f>('[2]г.Павлодар продолж. '!$AA$1632+'[2]г.Павлодар продолж. '!$AA$1782+'[2]г.Павлодар продолж. '!$AA$1938)</f>
        <v>794326.9690341399</v>
      </c>
      <c r="M69" s="76">
        <f>'[2]г.Павлодар 2018-1'!$DV$1008</f>
        <v>0</v>
      </c>
      <c r="N69" s="77">
        <f>('[2]г.Павлодар продолж. '!$AA$1509+'[2]г.Павлодар продолж. '!$AA$1515)</f>
        <v>941555.32886</v>
      </c>
      <c r="O69" s="81">
        <f>('[2]г.Павлодар продолж. '!$AA$1512+'[2]г.Павлодар продолж. '!$AA$1518)</f>
        <v>9479.96369</v>
      </c>
      <c r="P69" s="82">
        <f t="shared" si="25"/>
        <v>-0.04252398543785396</v>
      </c>
      <c r="Q69" s="86">
        <f t="shared" si="25"/>
        <v>0.029023363214908615</v>
      </c>
      <c r="R69" s="87">
        <f t="shared" si="25"/>
        <v>-0.3534921923715484</v>
      </c>
      <c r="S69" s="82">
        <f t="shared" si="25"/>
        <v>-1</v>
      </c>
      <c r="T69" s="86">
        <f t="shared" si="25"/>
        <v>-0.04666671507134901</v>
      </c>
      <c r="U69" s="87">
        <f t="shared" si="25"/>
        <v>-0.7696005610314441</v>
      </c>
      <c r="V69" s="224"/>
    </row>
    <row r="70" spans="1:22" ht="18.75">
      <c r="A70" s="116" t="s">
        <v>53</v>
      </c>
      <c r="B70" s="74" t="s">
        <v>196</v>
      </c>
      <c r="C70" s="75" t="s">
        <v>197</v>
      </c>
      <c r="D70" s="122">
        <f>SUM(E70:I70)</f>
        <v>2628.1079999999997</v>
      </c>
      <c r="E70" s="120">
        <f>1985.237</f>
        <v>1985.237</v>
      </c>
      <c r="F70" s="121">
        <f>376.923</f>
        <v>376.923</v>
      </c>
      <c r="G70" s="123">
        <f>5.892</f>
        <v>5.892</v>
      </c>
      <c r="H70" s="124">
        <f>227.367</f>
        <v>227.367</v>
      </c>
      <c r="I70" s="125">
        <f>32.689</f>
        <v>32.689</v>
      </c>
      <c r="J70" s="122">
        <f>K70+L70+M70+N70+O70</f>
        <v>2715.559025</v>
      </c>
      <c r="K70" s="120">
        <f>('[2]г.Павлодар продолж. '!$AA$1570+'[2]г.Павлодар продолж. '!$AA$1690+'[2]г.Павлодар продолж. '!$AA$1855)</f>
        <v>2127.135145</v>
      </c>
      <c r="L70" s="121">
        <f>('[2]г.Павлодар продолж. '!$AA$1630+'[2]г.Павлодар продолж. '!$AA$1780+'[2]г.Павлодар продолж. '!$AA$1936)</f>
        <v>362.10388000000006</v>
      </c>
      <c r="M70" s="123">
        <f>'[2]г.Павлодар 2018-1'!$DV$1006</f>
        <v>0</v>
      </c>
      <c r="N70" s="124">
        <f>('[2]г.Павлодар продолж. '!$AA$1507+'[2]г.Павлодар продолж. '!$AA$1513)</f>
        <v>218.644</v>
      </c>
      <c r="O70" s="125">
        <f>('[2]г.Павлодар продолж. '!$AA$1510+'[2]г.Павлодар продолж. '!$AA$1516)</f>
        <v>7.675999999999999</v>
      </c>
      <c r="P70" s="126">
        <f t="shared" si="25"/>
        <v>0.033275278261015284</v>
      </c>
      <c r="Q70" s="127">
        <f t="shared" si="25"/>
        <v>0.07147667759567256</v>
      </c>
      <c r="R70" s="128">
        <f t="shared" si="25"/>
        <v>-0.03931604067674288</v>
      </c>
      <c r="S70" s="126">
        <f t="shared" si="25"/>
        <v>-1</v>
      </c>
      <c r="T70" s="127">
        <f t="shared" si="25"/>
        <v>-0.038365286079334204</v>
      </c>
      <c r="U70" s="128">
        <f t="shared" si="25"/>
        <v>-0.7651809477194164</v>
      </c>
      <c r="V70" s="224"/>
    </row>
    <row r="71" spans="1:22" ht="32.25" thickBot="1">
      <c r="A71" s="116" t="s">
        <v>60</v>
      </c>
      <c r="B71" s="74" t="s">
        <v>198</v>
      </c>
      <c r="C71" s="75" t="s">
        <v>199</v>
      </c>
      <c r="D71" s="131"/>
      <c r="E71" s="129">
        <f>E69/E70</f>
        <v>3257.1483193892677</v>
      </c>
      <c r="F71" s="130">
        <f>F69/F70</f>
        <v>3259.664440747845</v>
      </c>
      <c r="G71" s="130">
        <f>G69/G70</f>
        <v>8253.971486761711</v>
      </c>
      <c r="H71" s="133">
        <f>H69/H70</f>
        <v>4343.838375841701</v>
      </c>
      <c r="I71" s="130">
        <f>I69/I70</f>
        <v>1258.7040267105453</v>
      </c>
      <c r="J71" s="131"/>
      <c r="K71" s="129">
        <f>K69/K70</f>
        <v>3128.0958215802684</v>
      </c>
      <c r="L71" s="130">
        <f>L69/L70</f>
        <v>2193.6439041584968</v>
      </c>
      <c r="M71" s="132">
        <v>0</v>
      </c>
      <c r="N71" s="133">
        <f>N69/N70</f>
        <v>4306.3396610929185</v>
      </c>
      <c r="O71" s="130">
        <f>O69/O70</f>
        <v>1235.013508337676</v>
      </c>
      <c r="P71" s="126"/>
      <c r="Q71" s="127">
        <f>K71/E71-1</f>
        <v>-0.03962131446111039</v>
      </c>
      <c r="R71" s="128">
        <f>L71/F71-1</f>
        <v>-0.32703382693734506</v>
      </c>
      <c r="S71" s="126">
        <f>M71/G71-1</f>
        <v>-1</v>
      </c>
      <c r="T71" s="127">
        <f>N71/H71-1</f>
        <v>-0.00863262200484538</v>
      </c>
      <c r="U71" s="128">
        <f>O71/I71-1</f>
        <v>-0.018821357420124696</v>
      </c>
      <c r="V71" s="235"/>
    </row>
    <row r="72" spans="1:22" s="10" customFormat="1" ht="16.5" customHeight="1" hidden="1">
      <c r="A72" s="169"/>
      <c r="B72" s="170" t="s">
        <v>71</v>
      </c>
      <c r="C72" s="171"/>
      <c r="D72" s="236">
        <f>SUM(E72:F72)</f>
        <v>2362.16</v>
      </c>
      <c r="E72" s="237">
        <f>E75+E76+0.001+E77</f>
        <v>1985.237</v>
      </c>
      <c r="F72" s="238">
        <f>F75+F76-0.001+F77</f>
        <v>376.923</v>
      </c>
      <c r="G72" s="172"/>
      <c r="H72" s="239"/>
      <c r="I72" s="238"/>
      <c r="J72" s="236">
        <f>SUM(K72:O72)</f>
        <v>100.00000000000001</v>
      </c>
      <c r="K72" s="237">
        <f>K70/J70*100</f>
        <v>78.33139053201026</v>
      </c>
      <c r="L72" s="238">
        <f>L70/J70*100</f>
        <v>13.334413896600905</v>
      </c>
      <c r="M72" s="172">
        <f>M70/J70*100</f>
        <v>0</v>
      </c>
      <c r="N72" s="239">
        <f>N70/J70*100</f>
        <v>8.051528174755841</v>
      </c>
      <c r="O72" s="238">
        <f>O70/J70*100</f>
        <v>0.2826673966330008</v>
      </c>
      <c r="P72" s="172"/>
      <c r="Q72" s="8"/>
      <c r="R72" s="2"/>
      <c r="S72" s="3"/>
      <c r="T72" s="2"/>
      <c r="U72" s="4"/>
      <c r="V72" s="227"/>
    </row>
    <row r="73" spans="1:22" ht="31.5">
      <c r="A73" s="433" t="s">
        <v>75</v>
      </c>
      <c r="B73" s="135" t="s">
        <v>200</v>
      </c>
      <c r="C73" s="179" t="s">
        <v>197</v>
      </c>
      <c r="D73" s="177">
        <f>D75+D76+D77</f>
        <v>2362.16</v>
      </c>
      <c r="E73" s="174">
        <f>E75+E76+E77</f>
        <v>1985.2359999999999</v>
      </c>
      <c r="F73" s="173">
        <f>F75+F76+F77</f>
        <v>376.924</v>
      </c>
      <c r="G73" s="177"/>
      <c r="H73" s="174"/>
      <c r="I73" s="173"/>
      <c r="J73" s="177">
        <f>J75+J76+J77</f>
        <v>2489.2390250000003</v>
      </c>
      <c r="K73" s="174">
        <f>K75+K76+K77</f>
        <v>2127.135145</v>
      </c>
      <c r="L73" s="173">
        <f>L75+L76+L77</f>
        <v>362.10388000000006</v>
      </c>
      <c r="M73" s="177"/>
      <c r="N73" s="174"/>
      <c r="O73" s="173"/>
      <c r="P73" s="183">
        <f>J73/D73-1</f>
        <v>0.0537978058217905</v>
      </c>
      <c r="Q73" s="184">
        <f>K73/E73-1</f>
        <v>0.07147721731824341</v>
      </c>
      <c r="R73" s="185">
        <f>L73/F73-1</f>
        <v>-0.03931858942386246</v>
      </c>
      <c r="S73" s="183"/>
      <c r="T73" s="184"/>
      <c r="U73" s="192"/>
      <c r="V73" s="223"/>
    </row>
    <row r="74" spans="1:22" ht="18.75">
      <c r="A74" s="434"/>
      <c r="B74" s="61" t="s">
        <v>143</v>
      </c>
      <c r="C74" s="180"/>
      <c r="D74" s="178"/>
      <c r="E74" s="175"/>
      <c r="F74" s="137"/>
      <c r="G74" s="178"/>
      <c r="H74" s="175"/>
      <c r="I74" s="137"/>
      <c r="J74" s="178"/>
      <c r="K74" s="175"/>
      <c r="L74" s="137"/>
      <c r="M74" s="178"/>
      <c r="N74" s="175"/>
      <c r="O74" s="137"/>
      <c r="P74" s="186"/>
      <c r="Q74" s="187"/>
      <c r="R74" s="188"/>
      <c r="S74" s="186"/>
      <c r="T74" s="187"/>
      <c r="U74" s="193"/>
      <c r="V74" s="224"/>
    </row>
    <row r="75" spans="1:22" ht="18.75">
      <c r="A75" s="434"/>
      <c r="B75" s="136" t="s">
        <v>201</v>
      </c>
      <c r="C75" s="181" t="s">
        <v>15</v>
      </c>
      <c r="D75" s="138">
        <f>SUM(E75:F75)</f>
        <v>1457.987</v>
      </c>
      <c r="E75" s="175">
        <f>1125.606</f>
        <v>1125.606</v>
      </c>
      <c r="F75" s="137">
        <f>332.381</f>
        <v>332.381</v>
      </c>
      <c r="G75" s="138"/>
      <c r="H75" s="175"/>
      <c r="I75" s="137"/>
      <c r="J75" s="138">
        <f>K75+L75</f>
        <v>1571.8398240000001</v>
      </c>
      <c r="K75" s="175">
        <f>'[2]г.Павлодар продолж. '!$AA$1570</f>
        <v>1248.681654</v>
      </c>
      <c r="L75" s="137">
        <f>'[2]г.Павлодар продолж. '!$AA$1630</f>
        <v>323.15817000000004</v>
      </c>
      <c r="M75" s="138"/>
      <c r="N75" s="175"/>
      <c r="O75" s="137"/>
      <c r="P75" s="189">
        <f aca="true" t="shared" si="26" ref="P75:R77">J75/D75-1</f>
        <v>0.07808905292022494</v>
      </c>
      <c r="Q75" s="187">
        <f t="shared" si="26"/>
        <v>0.1093416826136322</v>
      </c>
      <c r="R75" s="188">
        <f t="shared" si="26"/>
        <v>-0.02774776536564949</v>
      </c>
      <c r="S75" s="189"/>
      <c r="T75" s="187"/>
      <c r="U75" s="193"/>
      <c r="V75" s="224"/>
    </row>
    <row r="76" spans="1:22" ht="19.5" thickBot="1">
      <c r="A76" s="434"/>
      <c r="B76" s="136" t="s">
        <v>202</v>
      </c>
      <c r="C76" s="181" t="s">
        <v>15</v>
      </c>
      <c r="D76" s="138">
        <f>SUM(E76:F76)</f>
        <v>581.904</v>
      </c>
      <c r="E76" s="175">
        <v>558.298</v>
      </c>
      <c r="F76" s="137">
        <v>23.606</v>
      </c>
      <c r="G76" s="138"/>
      <c r="H76" s="175"/>
      <c r="I76" s="137"/>
      <c r="J76" s="138">
        <f>K76+L76</f>
        <v>621.4796430000001</v>
      </c>
      <c r="K76" s="175">
        <f>'[2]г.Павлодар продолж. '!$AA$1690</f>
        <v>599.6775120000001</v>
      </c>
      <c r="L76" s="137">
        <f>'[2]г.Павлодар продолж. '!$AA$1780</f>
        <v>21.802131000000006</v>
      </c>
      <c r="M76" s="138"/>
      <c r="N76" s="175"/>
      <c r="O76" s="137"/>
      <c r="P76" s="189">
        <f t="shared" si="26"/>
        <v>0.06801060484203592</v>
      </c>
      <c r="Q76" s="187">
        <f t="shared" si="26"/>
        <v>0.07411724921099494</v>
      </c>
      <c r="R76" s="188">
        <f t="shared" si="26"/>
        <v>-0.07641569939845783</v>
      </c>
      <c r="S76" s="189"/>
      <c r="T76" s="187"/>
      <c r="U76" s="193"/>
      <c r="V76" s="228"/>
    </row>
    <row r="77" spans="1:22" ht="16.5" thickBot="1">
      <c r="A77" s="435"/>
      <c r="B77" s="136" t="s">
        <v>203</v>
      </c>
      <c r="C77" s="182" t="s">
        <v>15</v>
      </c>
      <c r="D77" s="140">
        <f>SUM(E77:F77)</f>
        <v>322.269</v>
      </c>
      <c r="E77" s="176">
        <v>301.332</v>
      </c>
      <c r="F77" s="139">
        <v>20.937</v>
      </c>
      <c r="G77" s="140"/>
      <c r="H77" s="176"/>
      <c r="I77" s="139"/>
      <c r="J77" s="140">
        <f>K77+L77</f>
        <v>295.919558</v>
      </c>
      <c r="K77" s="176">
        <f>'[2]г.Павлодар продолж. '!$AA$1855</f>
        <v>278.775979</v>
      </c>
      <c r="L77" s="139">
        <f>'[2]г.Павлодар продолж. '!$AA$1936</f>
        <v>17.143579000000003</v>
      </c>
      <c r="M77" s="140"/>
      <c r="N77" s="176"/>
      <c r="O77" s="139"/>
      <c r="P77" s="189">
        <f t="shared" si="26"/>
        <v>-0.08176226072008175</v>
      </c>
      <c r="Q77" s="187">
        <f t="shared" si="26"/>
        <v>-0.07485438320523541</v>
      </c>
      <c r="R77" s="188">
        <f t="shared" si="26"/>
        <v>-0.1811826431675979</v>
      </c>
      <c r="S77" s="190"/>
      <c r="T77" s="191"/>
      <c r="U77" s="164"/>
      <c r="V77" s="436" t="s">
        <v>204</v>
      </c>
    </row>
    <row r="78" spans="1:22" s="147" customFormat="1" ht="15.75">
      <c r="A78" s="433" t="s">
        <v>76</v>
      </c>
      <c r="B78" s="141" t="s">
        <v>198</v>
      </c>
      <c r="C78" s="439" t="s">
        <v>199</v>
      </c>
      <c r="D78" s="203"/>
      <c r="E78" s="142"/>
      <c r="F78" s="204"/>
      <c r="G78" s="143"/>
      <c r="H78" s="142"/>
      <c r="I78" s="144"/>
      <c r="J78" s="203"/>
      <c r="K78" s="142"/>
      <c r="L78" s="204"/>
      <c r="M78" s="143"/>
      <c r="N78" s="142"/>
      <c r="O78" s="144"/>
      <c r="P78" s="56"/>
      <c r="Q78" s="145"/>
      <c r="R78" s="146"/>
      <c r="S78" s="56"/>
      <c r="T78" s="145"/>
      <c r="U78" s="146"/>
      <c r="V78" s="437"/>
    </row>
    <row r="79" spans="1:22" s="147" customFormat="1" ht="31.5">
      <c r="A79" s="434"/>
      <c r="B79" s="148" t="s">
        <v>205</v>
      </c>
      <c r="C79" s="440"/>
      <c r="D79" s="149"/>
      <c r="E79" s="150">
        <v>1897.37</v>
      </c>
      <c r="F79" s="151">
        <v>1168.02</v>
      </c>
      <c r="G79" s="152"/>
      <c r="H79" s="153"/>
      <c r="I79" s="154"/>
      <c r="J79" s="149"/>
      <c r="K79" s="150">
        <f>'[5]г.Павлодар 2018 год'!$CU$14</f>
        <v>1882.85254862306</v>
      </c>
      <c r="L79" s="151">
        <f>'[5]г.Павлодар 2018 год'!$CU$110</f>
        <v>1156.631872415923</v>
      </c>
      <c r="M79" s="152"/>
      <c r="N79" s="153"/>
      <c r="O79" s="154"/>
      <c r="P79" s="155"/>
      <c r="Q79" s="70">
        <f aca="true" t="shared" si="27" ref="Q79:R87">K79/E79-1</f>
        <v>-0.007651354968688073</v>
      </c>
      <c r="R79" s="71">
        <f t="shared" si="27"/>
        <v>-0.0097499422818762</v>
      </c>
      <c r="S79" s="156"/>
      <c r="T79" s="127"/>
      <c r="U79" s="157"/>
      <c r="V79" s="437"/>
    </row>
    <row r="80" spans="1:22" s="147" customFormat="1" ht="31.5">
      <c r="A80" s="434"/>
      <c r="B80" s="90" t="s">
        <v>206</v>
      </c>
      <c r="C80" s="440"/>
      <c r="D80" s="149"/>
      <c r="E80" s="150">
        <v>2769.66</v>
      </c>
      <c r="F80" s="151">
        <v>2468.29</v>
      </c>
      <c r="G80" s="152"/>
      <c r="H80" s="153"/>
      <c r="I80" s="154"/>
      <c r="J80" s="149"/>
      <c r="K80" s="150">
        <f>'[5]г.Павлодар 2018 год'!$CU$179</f>
        <v>2744.7392578474787</v>
      </c>
      <c r="L80" s="151">
        <f>'[5]г.Павлодар 2018 год'!$CU$257</f>
        <v>2445.2984685301058</v>
      </c>
      <c r="M80" s="152"/>
      <c r="N80" s="153"/>
      <c r="O80" s="154"/>
      <c r="P80" s="155"/>
      <c r="Q80" s="70">
        <f t="shared" si="27"/>
        <v>-0.00899776223526394</v>
      </c>
      <c r="R80" s="71">
        <f t="shared" si="27"/>
        <v>-0.009314761016693374</v>
      </c>
      <c r="S80" s="156"/>
      <c r="T80" s="127"/>
      <c r="U80" s="157"/>
      <c r="V80" s="437"/>
    </row>
    <row r="81" spans="1:22" s="147" customFormat="1" ht="63">
      <c r="A81" s="434"/>
      <c r="B81" s="90" t="s">
        <v>207</v>
      </c>
      <c r="C81" s="440"/>
      <c r="D81" s="149"/>
      <c r="E81" s="150">
        <v>2308.05</v>
      </c>
      <c r="F81" s="151">
        <v>2336.03</v>
      </c>
      <c r="G81" s="152"/>
      <c r="H81" s="153"/>
      <c r="I81" s="154"/>
      <c r="J81" s="149"/>
      <c r="K81" s="150">
        <f>'[2]г.Павлодар продолж. '!$AO$1571</f>
        <v>2284.3475196369022</v>
      </c>
      <c r="L81" s="151">
        <f>'[2]г.Павлодар продолж. '!$AO$1580</f>
        <v>2313.6214433949067</v>
      </c>
      <c r="M81" s="152"/>
      <c r="N81" s="153"/>
      <c r="O81" s="154"/>
      <c r="P81" s="155"/>
      <c r="Q81" s="70">
        <f t="shared" si="27"/>
        <v>-0.010269483054135664</v>
      </c>
      <c r="R81" s="71">
        <f t="shared" si="27"/>
        <v>-0.009592580833762243</v>
      </c>
      <c r="S81" s="156"/>
      <c r="T81" s="127"/>
      <c r="U81" s="157"/>
      <c r="V81" s="437"/>
    </row>
    <row r="82" spans="1:22" s="147" customFormat="1" ht="31.5">
      <c r="A82" s="434"/>
      <c r="B82" s="90" t="s">
        <v>208</v>
      </c>
      <c r="C82" s="440"/>
      <c r="D82" s="149"/>
      <c r="E82" s="150">
        <v>4392.97</v>
      </c>
      <c r="F82" s="151">
        <v>3525.8</v>
      </c>
      <c r="G82" s="152"/>
      <c r="H82" s="153"/>
      <c r="I82" s="154"/>
      <c r="J82" s="149"/>
      <c r="K82" s="150">
        <f>'[5]г.Павлодар 2018 год'!$CU$711</f>
        <v>4320.547383547688</v>
      </c>
      <c r="L82" s="151">
        <f>'[2]г.Павлодар продолж. '!$AM$1709</f>
        <v>3411.890334988635</v>
      </c>
      <c r="M82" s="152"/>
      <c r="N82" s="153"/>
      <c r="O82" s="154"/>
      <c r="P82" s="155"/>
      <c r="Q82" s="70">
        <f t="shared" si="27"/>
        <v>-0.016486025730271914</v>
      </c>
      <c r="R82" s="71">
        <f t="shared" si="27"/>
        <v>-0.032307466393829865</v>
      </c>
      <c r="S82" s="156"/>
      <c r="T82" s="127"/>
      <c r="U82" s="157"/>
      <c r="V82" s="437"/>
    </row>
    <row r="83" spans="1:22" s="147" customFormat="1" ht="31.5">
      <c r="A83" s="434"/>
      <c r="B83" s="90" t="s">
        <v>209</v>
      </c>
      <c r="C83" s="440"/>
      <c r="D83" s="149"/>
      <c r="E83" s="150">
        <v>7167.35</v>
      </c>
      <c r="F83" s="151">
        <v>7170.69</v>
      </c>
      <c r="G83" s="152"/>
      <c r="H83" s="153"/>
      <c r="I83" s="154"/>
      <c r="J83" s="149"/>
      <c r="K83" s="150">
        <f>'[5]г.Павлодар 2018 год'!$CU$895</f>
        <v>7177.517336285044</v>
      </c>
      <c r="L83" s="151">
        <f>'[5]г.Павлодар 2018 год'!$CU$982</f>
        <v>6976.062811485153</v>
      </c>
      <c r="M83" s="152"/>
      <c r="N83" s="153"/>
      <c r="O83" s="154"/>
      <c r="P83" s="155"/>
      <c r="Q83" s="70">
        <f t="shared" si="27"/>
        <v>0.0014185628279690388</v>
      </c>
      <c r="R83" s="71">
        <f t="shared" si="27"/>
        <v>-0.0271420447006977</v>
      </c>
      <c r="S83" s="156"/>
      <c r="T83" s="127"/>
      <c r="U83" s="157"/>
      <c r="V83" s="437"/>
    </row>
    <row r="84" spans="1:23" s="147" customFormat="1" ht="63">
      <c r="A84" s="434"/>
      <c r="B84" s="158" t="s">
        <v>210</v>
      </c>
      <c r="C84" s="440"/>
      <c r="D84" s="159"/>
      <c r="E84" s="160">
        <v>4778.23</v>
      </c>
      <c r="F84" s="161">
        <v>4780.46</v>
      </c>
      <c r="G84" s="132"/>
      <c r="H84" s="129"/>
      <c r="I84" s="134"/>
      <c r="J84" s="159"/>
      <c r="K84" s="160">
        <f>'[2]г.Павлодар продолж. '!$AO$1691</f>
        <v>4731.124505101718</v>
      </c>
      <c r="L84" s="161">
        <f>'[2]г.Павлодар продолж. '!$AO$1709</f>
        <v>4743.641087659885</v>
      </c>
      <c r="M84" s="132"/>
      <c r="N84" s="129"/>
      <c r="O84" s="134"/>
      <c r="P84" s="162"/>
      <c r="Q84" s="70">
        <f t="shared" si="27"/>
        <v>-0.009858356524964695</v>
      </c>
      <c r="R84" s="71">
        <f t="shared" si="27"/>
        <v>-0.00770196013356772</v>
      </c>
      <c r="S84" s="82"/>
      <c r="T84" s="86"/>
      <c r="U84" s="87"/>
      <c r="V84" s="437"/>
      <c r="W84" s="163"/>
    </row>
    <row r="85" spans="1:23" s="147" customFormat="1" ht="31.5">
      <c r="A85" s="434"/>
      <c r="B85" s="158" t="s">
        <v>211</v>
      </c>
      <c r="C85" s="440"/>
      <c r="D85" s="149"/>
      <c r="E85" s="150">
        <v>4500.89</v>
      </c>
      <c r="F85" s="151">
        <v>4662.08</v>
      </c>
      <c r="G85" s="149"/>
      <c r="H85" s="150"/>
      <c r="I85" s="151"/>
      <c r="J85" s="149"/>
      <c r="K85" s="150">
        <f>'[5]г.Павлодар 2018 год'!$CU$347</f>
        <v>4427.529659627046</v>
      </c>
      <c r="L85" s="151">
        <f>'[5]г.Павлодар 2018 год'!$CU$447</f>
        <v>4596.243449272329</v>
      </c>
      <c r="M85" s="149"/>
      <c r="N85" s="150"/>
      <c r="O85" s="151"/>
      <c r="P85" s="162"/>
      <c r="Q85" s="70">
        <f t="shared" si="27"/>
        <v>-0.016299074265968327</v>
      </c>
      <c r="R85" s="71">
        <f t="shared" si="27"/>
        <v>-0.014121711924220737</v>
      </c>
      <c r="S85" s="82"/>
      <c r="T85" s="86"/>
      <c r="U85" s="87"/>
      <c r="V85" s="437"/>
      <c r="W85" s="163"/>
    </row>
    <row r="86" spans="1:23" s="147" customFormat="1" ht="32.25" thickBot="1">
      <c r="A86" s="434"/>
      <c r="B86" s="158" t="s">
        <v>212</v>
      </c>
      <c r="C86" s="440"/>
      <c r="D86" s="149"/>
      <c r="E86" s="150">
        <v>7167.35</v>
      </c>
      <c r="F86" s="151">
        <v>7170.69</v>
      </c>
      <c r="G86" s="149"/>
      <c r="H86" s="150"/>
      <c r="I86" s="151"/>
      <c r="J86" s="149"/>
      <c r="K86" s="150">
        <f>'[5]г.Павлодар 2018 год'!$CU$534</f>
        <v>7116.079621570126</v>
      </c>
      <c r="L86" s="151">
        <f>'[5]г.Павлодар 2018 год'!$CU$621</f>
        <v>7109.15933843118</v>
      </c>
      <c r="M86" s="149"/>
      <c r="N86" s="150"/>
      <c r="O86" s="151"/>
      <c r="P86" s="162"/>
      <c r="Q86" s="70">
        <f t="shared" si="27"/>
        <v>-0.007153324231393032</v>
      </c>
      <c r="R86" s="71">
        <f t="shared" si="27"/>
        <v>-0.008580856454374675</v>
      </c>
      <c r="S86" s="82"/>
      <c r="T86" s="86"/>
      <c r="U86" s="87"/>
      <c r="V86" s="438"/>
      <c r="W86" s="163"/>
    </row>
    <row r="87" spans="1:23" s="147" customFormat="1" ht="63.75" thickBot="1">
      <c r="A87" s="435"/>
      <c r="B87" s="158" t="s">
        <v>213</v>
      </c>
      <c r="C87" s="441"/>
      <c r="D87" s="205"/>
      <c r="E87" s="206">
        <v>4778.23</v>
      </c>
      <c r="F87" s="207">
        <v>4780.46</v>
      </c>
      <c r="G87" s="205"/>
      <c r="H87" s="206"/>
      <c r="I87" s="207"/>
      <c r="J87" s="205"/>
      <c r="K87" s="206">
        <f>K84</f>
        <v>4731.124505101718</v>
      </c>
      <c r="L87" s="207">
        <f>L84</f>
        <v>4743.641087659885</v>
      </c>
      <c r="M87" s="205"/>
      <c r="N87" s="206"/>
      <c r="O87" s="207"/>
      <c r="P87" s="208"/>
      <c r="Q87" s="209">
        <f t="shared" si="27"/>
        <v>-0.009858356524964695</v>
      </c>
      <c r="R87" s="210">
        <f t="shared" si="27"/>
        <v>-0.00770196013356772</v>
      </c>
      <c r="S87" s="211"/>
      <c r="T87" s="212"/>
      <c r="U87" s="213"/>
      <c r="V87" s="229"/>
      <c r="W87" s="163"/>
    </row>
    <row r="88" spans="1:23" s="147" customFormat="1" ht="15.75" customHeight="1" hidden="1">
      <c r="A88" s="240"/>
      <c r="B88" s="241" t="s">
        <v>72</v>
      </c>
      <c r="C88" s="242"/>
      <c r="D88" s="243"/>
      <c r="E88" s="243"/>
      <c r="F88" s="243"/>
      <c r="G88" s="244"/>
      <c r="H88" s="244"/>
      <c r="I88" s="244"/>
      <c r="J88" s="243"/>
      <c r="K88" s="243"/>
      <c r="L88" s="243"/>
      <c r="M88" s="244"/>
      <c r="N88" s="244"/>
      <c r="O88" s="244"/>
      <c r="P88" s="245"/>
      <c r="Q88" s="245"/>
      <c r="R88" s="245"/>
      <c r="S88" s="246"/>
      <c r="T88" s="246"/>
      <c r="U88" s="246"/>
      <c r="V88" s="230"/>
      <c r="W88" s="163"/>
    </row>
    <row r="89" spans="1:23" s="147" customFormat="1" ht="15.75" customHeight="1" hidden="1">
      <c r="A89" s="240"/>
      <c r="B89" s="247" t="s">
        <v>85</v>
      </c>
      <c r="C89" s="242" t="s">
        <v>86</v>
      </c>
      <c r="D89" s="442">
        <v>132</v>
      </c>
      <c r="E89" s="442"/>
      <c r="F89" s="442"/>
      <c r="G89" s="442"/>
      <c r="H89" s="442"/>
      <c r="I89" s="442"/>
      <c r="J89" s="442">
        <v>132</v>
      </c>
      <c r="K89" s="442"/>
      <c r="L89" s="442"/>
      <c r="M89" s="442"/>
      <c r="N89" s="442"/>
      <c r="O89" s="442"/>
      <c r="P89" s="432">
        <f>J89/D89-1</f>
        <v>0</v>
      </c>
      <c r="Q89" s="432"/>
      <c r="R89" s="432"/>
      <c r="S89" s="432"/>
      <c r="T89" s="432"/>
      <c r="U89" s="432"/>
      <c r="V89" s="20" t="s">
        <v>97</v>
      </c>
      <c r="W89" s="163"/>
    </row>
    <row r="90" spans="1:23" s="147" customFormat="1" ht="41.25" customHeight="1" hidden="1">
      <c r="A90" s="240"/>
      <c r="B90" s="247" t="s">
        <v>87</v>
      </c>
      <c r="C90" s="242" t="s">
        <v>73</v>
      </c>
      <c r="D90" s="431">
        <f>D39/132/12*1000</f>
        <v>59861.74242424243</v>
      </c>
      <c r="E90" s="431"/>
      <c r="F90" s="431"/>
      <c r="G90" s="431"/>
      <c r="H90" s="431"/>
      <c r="I90" s="431"/>
      <c r="J90" s="431">
        <f>J39/132/12*1000</f>
        <v>89629.93651861665</v>
      </c>
      <c r="K90" s="431"/>
      <c r="L90" s="431"/>
      <c r="M90" s="431"/>
      <c r="N90" s="431"/>
      <c r="O90" s="431"/>
      <c r="P90" s="432">
        <f>J90/D90-1</f>
        <v>0.4972824526791404</v>
      </c>
      <c r="Q90" s="432"/>
      <c r="R90" s="432"/>
      <c r="S90" s="432"/>
      <c r="T90" s="432"/>
      <c r="U90" s="432"/>
      <c r="V90" s="231"/>
      <c r="W90" s="163"/>
    </row>
    <row r="91" spans="1:23" s="147" customFormat="1" ht="15.75" hidden="1">
      <c r="A91" s="240"/>
      <c r="B91" s="248" t="s">
        <v>88</v>
      </c>
      <c r="C91" s="242" t="s">
        <v>89</v>
      </c>
      <c r="D91" s="243"/>
      <c r="E91" s="243">
        <f>E31/E70</f>
        <v>55.17344183056813</v>
      </c>
      <c r="F91" s="243">
        <f>F31/F70</f>
        <v>55.16643982988568</v>
      </c>
      <c r="G91" s="243">
        <f>G31/G70</f>
        <v>55.39714867617107</v>
      </c>
      <c r="H91" s="243">
        <f>H31/H70</f>
        <v>55.49837927227786</v>
      </c>
      <c r="I91" s="243">
        <f>I31/I70</f>
        <v>55.2716794377624</v>
      </c>
      <c r="J91" s="243"/>
      <c r="K91" s="243">
        <f>K31/K70</f>
        <v>75.3468455934841</v>
      </c>
      <c r="L91" s="243">
        <f>L31/L70</f>
        <v>75.34684559348409</v>
      </c>
      <c r="M91" s="243">
        <v>0</v>
      </c>
      <c r="N91" s="243">
        <f>N31/N70</f>
        <v>75.3468455934841</v>
      </c>
      <c r="O91" s="243">
        <f>O31/O70</f>
        <v>75.3468455934841</v>
      </c>
      <c r="P91" s="245"/>
      <c r="Q91" s="245">
        <f>K91/E91-1</f>
        <v>0.36563613023937114</v>
      </c>
      <c r="R91" s="245">
        <f>L91/F91-1</f>
        <v>0.3658094636128022</v>
      </c>
      <c r="S91" s="245">
        <f>M91/G91-1</f>
        <v>-1</v>
      </c>
      <c r="T91" s="245">
        <f>N91/H91-1</f>
        <v>0.35764046773021363</v>
      </c>
      <c r="U91" s="245">
        <f>O91/I91-1</f>
        <v>0.3632089048122187</v>
      </c>
      <c r="V91" s="249"/>
      <c r="W91" s="163"/>
    </row>
    <row r="92" spans="1:23" s="147" customFormat="1" ht="15.75">
      <c r="A92" s="165"/>
      <c r="B92" s="165"/>
      <c r="C92" s="7"/>
      <c r="D92" s="165"/>
      <c r="E92" s="165"/>
      <c r="F92" s="165"/>
      <c r="G92" s="7"/>
      <c r="H92" s="165"/>
      <c r="I92" s="7"/>
      <c r="J92" s="166"/>
      <c r="K92" s="166"/>
      <c r="L92" s="166"/>
      <c r="M92" s="166"/>
      <c r="N92" s="166"/>
      <c r="O92" s="166"/>
      <c r="P92" s="165"/>
      <c r="Q92" s="165"/>
      <c r="R92" s="165"/>
      <c r="S92" s="165"/>
      <c r="T92" s="165"/>
      <c r="U92" s="165"/>
      <c r="V92" s="250"/>
      <c r="W92" s="163"/>
    </row>
    <row r="93" spans="1:22" ht="23.25" customHeight="1">
      <c r="A93" s="25" t="s">
        <v>214</v>
      </c>
      <c r="B93" s="251"/>
      <c r="C93" s="25"/>
      <c r="D93" s="25"/>
      <c r="E93" s="25"/>
      <c r="F93" s="25"/>
      <c r="G93" s="7"/>
      <c r="H93" s="7"/>
      <c r="I93" s="7"/>
      <c r="J93" s="7"/>
      <c r="K93" s="7"/>
      <c r="L93" s="7"/>
      <c r="M93" s="7"/>
      <c r="N93" s="7"/>
      <c r="R93" s="167"/>
      <c r="S93" s="7"/>
      <c r="T93" s="7"/>
      <c r="U93" s="168"/>
      <c r="V93" s="252"/>
    </row>
    <row r="94" spans="1:21" ht="15.75">
      <c r="A94" s="26" t="s">
        <v>215</v>
      </c>
      <c r="B94" s="26"/>
      <c r="C94" s="26"/>
      <c r="D94" s="27"/>
      <c r="E94" s="27"/>
      <c r="F94" s="27"/>
      <c r="G94" s="5"/>
      <c r="H94" s="5"/>
      <c r="I94" s="5"/>
      <c r="J94" s="5"/>
      <c r="K94" s="5"/>
      <c r="L94" s="5"/>
      <c r="M94" s="5"/>
      <c r="N94" s="5"/>
      <c r="R94" s="27"/>
      <c r="S94" s="5"/>
      <c r="T94" s="5"/>
      <c r="U94" s="12"/>
    </row>
    <row r="95" spans="1:21" ht="15.75">
      <c r="A95" s="26" t="s">
        <v>107</v>
      </c>
      <c r="B95" s="26"/>
      <c r="C95" s="27"/>
      <c r="D95" s="27"/>
      <c r="E95" s="27"/>
      <c r="F95" s="27"/>
      <c r="H95" s="5"/>
      <c r="I95" s="5"/>
      <c r="J95" s="5"/>
      <c r="K95" s="5"/>
      <c r="L95" s="5"/>
      <c r="M95" s="5"/>
      <c r="N95" s="5"/>
      <c r="R95" s="27"/>
      <c r="S95" s="5"/>
      <c r="T95" s="5"/>
      <c r="U95" s="12"/>
    </row>
    <row r="96" spans="1:21" ht="15.75">
      <c r="A96" s="26" t="s">
        <v>216</v>
      </c>
      <c r="B96" s="26"/>
      <c r="C96" s="26"/>
      <c r="D96" s="27"/>
      <c r="E96" s="27"/>
      <c r="F96" s="27"/>
      <c r="G96" s="5"/>
      <c r="H96" s="5"/>
      <c r="I96" s="5"/>
      <c r="J96" s="5"/>
      <c r="K96" s="5"/>
      <c r="L96" s="5"/>
      <c r="M96" s="5"/>
      <c r="N96" s="5"/>
      <c r="R96" s="27"/>
      <c r="S96" s="5"/>
      <c r="T96" s="5"/>
      <c r="U96" s="12"/>
    </row>
    <row r="97" spans="1:21" ht="15.75">
      <c r="A97" s="26" t="s">
        <v>217</v>
      </c>
      <c r="B97" s="251"/>
      <c r="C97" s="26"/>
      <c r="D97" s="27"/>
      <c r="E97" s="27"/>
      <c r="F97" s="27"/>
      <c r="G97" s="5"/>
      <c r="H97" s="5"/>
      <c r="I97" s="5"/>
      <c r="J97" s="5"/>
      <c r="K97" s="5"/>
      <c r="L97" s="5"/>
      <c r="M97" s="5"/>
      <c r="N97" s="5"/>
      <c r="R97" s="27"/>
      <c r="S97" s="5"/>
      <c r="T97" s="5"/>
      <c r="U97" s="12"/>
    </row>
    <row r="98" spans="1:21" ht="15.75">
      <c r="A98" s="26"/>
      <c r="B98" s="251"/>
      <c r="C98" s="26"/>
      <c r="D98" s="27"/>
      <c r="E98" s="27"/>
      <c r="F98" s="27"/>
      <c r="G98" s="5"/>
      <c r="H98" s="5"/>
      <c r="I98" s="5"/>
      <c r="J98" s="5"/>
      <c r="K98" s="5"/>
      <c r="L98" s="5"/>
      <c r="M98" s="5"/>
      <c r="N98" s="5"/>
      <c r="R98" s="27"/>
      <c r="S98" s="5"/>
      <c r="T98" s="5"/>
      <c r="U98" s="12"/>
    </row>
    <row r="99" spans="1:21" ht="15.75">
      <c r="A99" s="27" t="s">
        <v>218</v>
      </c>
      <c r="B99" s="251"/>
      <c r="C99" s="27"/>
      <c r="D99" s="27"/>
      <c r="E99" s="27"/>
      <c r="F99" s="27"/>
      <c r="G99" s="5"/>
      <c r="H99" s="5"/>
      <c r="I99" s="5"/>
      <c r="J99" s="5"/>
      <c r="K99" s="5"/>
      <c r="L99" s="5"/>
      <c r="M99" s="5"/>
      <c r="N99" s="5"/>
      <c r="R99" s="27"/>
      <c r="S99" s="5" t="s">
        <v>219</v>
      </c>
      <c r="T99" s="5"/>
      <c r="U99" s="12"/>
    </row>
    <row r="100" spans="1:21" ht="15.75">
      <c r="A100" s="26"/>
      <c r="B100" s="251"/>
      <c r="C100" s="26"/>
      <c r="D100" s="27"/>
      <c r="E100" s="27"/>
      <c r="F100" s="27"/>
      <c r="G100" s="5"/>
      <c r="H100" s="5"/>
      <c r="I100" s="5"/>
      <c r="J100" s="5"/>
      <c r="K100" s="5"/>
      <c r="L100" s="5"/>
      <c r="M100" s="5"/>
      <c r="N100" s="5"/>
      <c r="R100" s="27"/>
      <c r="S100" s="5"/>
      <c r="T100" s="5"/>
      <c r="U100" s="12"/>
    </row>
    <row r="101" spans="1:21" ht="15.75">
      <c r="A101" s="26" t="s">
        <v>220</v>
      </c>
      <c r="B101" s="251"/>
      <c r="C101" s="26"/>
      <c r="D101" s="27"/>
      <c r="E101" s="27"/>
      <c r="F101" s="27"/>
      <c r="G101" s="5"/>
      <c r="H101" s="5"/>
      <c r="I101" s="5"/>
      <c r="J101" s="5"/>
      <c r="K101" s="5"/>
      <c r="L101" s="5"/>
      <c r="M101" s="5"/>
      <c r="N101" s="5"/>
      <c r="R101" s="27"/>
      <c r="S101" s="5"/>
      <c r="T101" s="5"/>
      <c r="U101" s="12"/>
    </row>
    <row r="102" spans="1:21" ht="15.75">
      <c r="A102" s="26" t="s">
        <v>221</v>
      </c>
      <c r="B102" s="251"/>
      <c r="C102" s="26"/>
      <c r="D102" s="27"/>
      <c r="E102" s="27"/>
      <c r="F102" s="27"/>
      <c r="H102" s="5"/>
      <c r="I102" s="5"/>
      <c r="J102" s="5"/>
      <c r="K102" s="5"/>
      <c r="L102" s="5"/>
      <c r="M102" s="5"/>
      <c r="N102" s="254" t="s">
        <v>116</v>
      </c>
      <c r="R102" s="27"/>
      <c r="S102" s="12"/>
      <c r="T102" s="12"/>
      <c r="U102" s="12"/>
    </row>
    <row r="103" spans="8:18" ht="15.75">
      <c r="H103" s="5"/>
      <c r="I103" s="5"/>
      <c r="J103" s="5"/>
      <c r="K103" s="5"/>
      <c r="L103" s="5"/>
      <c r="M103" s="5"/>
      <c r="N103" s="5"/>
      <c r="O103" s="5"/>
      <c r="P103" s="5"/>
      <c r="Q103" s="5"/>
      <c r="R103" s="5"/>
    </row>
    <row r="104" spans="8:18" ht="15.75">
      <c r="H104" s="5"/>
      <c r="I104" s="5"/>
      <c r="J104" s="5"/>
      <c r="K104" s="5"/>
      <c r="L104" s="5"/>
      <c r="M104" s="5"/>
      <c r="N104" s="5"/>
      <c r="O104" s="5"/>
      <c r="P104" s="5"/>
      <c r="Q104" s="5"/>
      <c r="R104" s="5"/>
    </row>
    <row r="105" spans="8:18" ht="15.75">
      <c r="H105" s="5"/>
      <c r="I105" s="5"/>
      <c r="J105" s="5"/>
      <c r="K105" s="5"/>
      <c r="L105" s="5"/>
      <c r="M105" s="5"/>
      <c r="N105" s="5"/>
      <c r="O105" s="5"/>
      <c r="P105" s="5"/>
      <c r="Q105" s="5"/>
      <c r="R105" s="5"/>
    </row>
    <row r="106" ht="15" outlineLevel="1"/>
    <row r="107" ht="15" outlineLevel="1"/>
    <row r="108" ht="15" outlineLevel="1"/>
    <row r="109" ht="15" outlineLevel="1"/>
    <row r="110" ht="12.75" customHeight="1" outlineLevel="1"/>
    <row r="111" ht="15" outlineLevel="1"/>
    <row r="112" ht="15" outlineLevel="1">
      <c r="J112" s="6"/>
    </row>
    <row r="113" spans="10:12" ht="15" outlineLevel="1">
      <c r="J113" s="6"/>
      <c r="L113" s="11"/>
    </row>
    <row r="114" spans="10:12" ht="15" outlineLevel="1">
      <c r="J114" s="6"/>
      <c r="L114" s="11"/>
    </row>
    <row r="115" ht="15" outlineLevel="1">
      <c r="J115" s="6"/>
    </row>
    <row r="116" spans="10:12" ht="15" outlineLevel="1">
      <c r="J116" s="6"/>
      <c r="L116" s="11"/>
    </row>
    <row r="117" spans="10:12" ht="15" outlineLevel="1">
      <c r="J117" s="6"/>
      <c r="L117" s="11"/>
    </row>
    <row r="118" spans="10:12" ht="15" outlineLevel="1">
      <c r="J118" s="6"/>
      <c r="L118" s="11"/>
    </row>
    <row r="119" ht="15" outlineLevel="1">
      <c r="J119" s="6"/>
    </row>
    <row r="131" ht="15"/>
    <row r="132" ht="15"/>
  </sheetData>
  <sheetProtection/>
  <mergeCells count="48">
    <mergeCell ref="D90:I90"/>
    <mergeCell ref="J90:O90"/>
    <mergeCell ref="P90:U90"/>
    <mergeCell ref="A73:A77"/>
    <mergeCell ref="V77:V86"/>
    <mergeCell ref="A78:A87"/>
    <mergeCell ref="C78:C87"/>
    <mergeCell ref="D89:I89"/>
    <mergeCell ref="J89:O89"/>
    <mergeCell ref="P89:U89"/>
    <mergeCell ref="A33:A34"/>
    <mergeCell ref="A37:A38"/>
    <mergeCell ref="V40:V41"/>
    <mergeCell ref="A43:A44"/>
    <mergeCell ref="A47:A48"/>
    <mergeCell ref="A55:A59"/>
    <mergeCell ref="Q19:R20"/>
    <mergeCell ref="S19:U19"/>
    <mergeCell ref="G20:G21"/>
    <mergeCell ref="H20:I20"/>
    <mergeCell ref="M20:M21"/>
    <mergeCell ref="N20:O20"/>
    <mergeCell ref="S20:S21"/>
    <mergeCell ref="T20:U20"/>
    <mergeCell ref="P17:U17"/>
    <mergeCell ref="V17:V21"/>
    <mergeCell ref="D18:D21"/>
    <mergeCell ref="E18:F20"/>
    <mergeCell ref="G18:I19"/>
    <mergeCell ref="J18:J21"/>
    <mergeCell ref="K18:L20"/>
    <mergeCell ref="M18:O19"/>
    <mergeCell ref="P18:P21"/>
    <mergeCell ref="Q18:U18"/>
    <mergeCell ref="B8:O8"/>
    <mergeCell ref="N16:O16"/>
    <mergeCell ref="A17:A21"/>
    <mergeCell ref="B17:B21"/>
    <mergeCell ref="C17:C21"/>
    <mergeCell ref="D17:I17"/>
    <mergeCell ref="J17:O17"/>
    <mergeCell ref="Q1:V1"/>
    <mergeCell ref="Q2:V2"/>
    <mergeCell ref="Q3:V3"/>
    <mergeCell ref="Q4:V4"/>
    <mergeCell ref="Q5:V5"/>
    <mergeCell ref="B6:G6"/>
    <mergeCell ref="Q6:V6"/>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energocentr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Kuznecova</dc:creator>
  <cp:keywords/>
  <dc:description/>
  <cp:lastModifiedBy>Садыкова Сауле Оралгазиновна</cp:lastModifiedBy>
  <cp:lastPrinted>2022-04-19T05:16:07Z</cp:lastPrinted>
  <dcterms:created xsi:type="dcterms:W3CDTF">2009-02-25T04:19:22Z</dcterms:created>
  <dcterms:modified xsi:type="dcterms:W3CDTF">2022-04-26T08:30:17Z</dcterms:modified>
  <cp:category/>
  <cp:version/>
  <cp:contentType/>
  <cp:contentStatus/>
</cp:coreProperties>
</file>