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0560" activeTab="1"/>
  </bookViews>
  <sheets>
    <sheet name="ТОО ПЭС г.Павлодар (за 2016г.)" sheetId="1" r:id="rId1"/>
    <sheet name="ТОО ПЭС г.Экибастуз (за 2016г.)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Titles" localSheetId="0">'ТОО ПЭС г.Павлодар (за 2016г.)'!$A:$B,'ТОО ПЭС г.Павлодар (за 2016г.)'!$16:$20</definedName>
    <definedName name="_xlnm.Print_Area" localSheetId="0">'ТОО ПЭС г.Павлодар (за 2016г.)'!$A$1:$V$97</definedName>
  </definedNames>
  <calcPr fullCalcOnLoad="1"/>
</workbook>
</file>

<file path=xl/sharedStrings.xml><?xml version="1.0" encoding="utf-8"?>
<sst xmlns="http://schemas.openxmlformats.org/spreadsheetml/2006/main" count="407" uniqueCount="209">
  <si>
    <t>№ п/п</t>
  </si>
  <si>
    <t>1.1.</t>
  </si>
  <si>
    <t>1.2.</t>
  </si>
  <si>
    <t>2.1.</t>
  </si>
  <si>
    <t>2.2.</t>
  </si>
  <si>
    <t>Расходы периода</t>
  </si>
  <si>
    <t>Услуги сторонних организаций</t>
  </si>
  <si>
    <t>аудит</t>
  </si>
  <si>
    <t>командировочные расходы</t>
  </si>
  <si>
    <t>услуги банка</t>
  </si>
  <si>
    <t>охрана объектов</t>
  </si>
  <si>
    <t>налог на имущество</t>
  </si>
  <si>
    <t>I</t>
  </si>
  <si>
    <t>тыс. тенге</t>
  </si>
  <si>
    <t>в том числе:</t>
  </si>
  <si>
    <t>Материальные затраты, всего</t>
  </si>
  <si>
    <t>-\\-</t>
  </si>
  <si>
    <t>Покупная энергия в горячей воде для централизованного теплоснабжения</t>
  </si>
  <si>
    <t>Передача и распределение тепловой энергии в горячей воде</t>
  </si>
  <si>
    <t>II</t>
  </si>
  <si>
    <t>Материалы на эксплуатацию</t>
  </si>
  <si>
    <t>материалы по АСУ</t>
  </si>
  <si>
    <t>Затраты на оплату труда, всего</t>
  </si>
  <si>
    <t>3.1.</t>
  </si>
  <si>
    <t>заработная плата</t>
  </si>
  <si>
    <t>3.2.</t>
  </si>
  <si>
    <t>социальный налог</t>
  </si>
  <si>
    <t>Амортизация</t>
  </si>
  <si>
    <t>5.1.</t>
  </si>
  <si>
    <t xml:space="preserve">услуги по транспорту </t>
  </si>
  <si>
    <t>Прочие услуги</t>
  </si>
  <si>
    <t>6.1.</t>
  </si>
  <si>
    <t>6.2.</t>
  </si>
  <si>
    <t>канцелярские и  почтово-телеграфные расходы</t>
  </si>
  <si>
    <t>6.3.</t>
  </si>
  <si>
    <t>услуги связи (радио, телефон)</t>
  </si>
  <si>
    <t>6.4.</t>
  </si>
  <si>
    <t>6.5.</t>
  </si>
  <si>
    <t>6.6.</t>
  </si>
  <si>
    <t>налоговые платежи и сборы</t>
  </si>
  <si>
    <t>страхование работников</t>
  </si>
  <si>
    <t>6.7.</t>
  </si>
  <si>
    <t xml:space="preserve">аренда помещений </t>
  </si>
  <si>
    <t>6.8.</t>
  </si>
  <si>
    <t>затраты по технике безопасности и охране труда</t>
  </si>
  <si>
    <t>информационные, регистраторские услуги</t>
  </si>
  <si>
    <t>6.10.</t>
  </si>
  <si>
    <t>изготовление бланочной продукции</t>
  </si>
  <si>
    <t>6.12.</t>
  </si>
  <si>
    <t>III</t>
  </si>
  <si>
    <t>IV</t>
  </si>
  <si>
    <t>Прибыль</t>
  </si>
  <si>
    <t>V</t>
  </si>
  <si>
    <t>Всего доходов</t>
  </si>
  <si>
    <t>VI</t>
  </si>
  <si>
    <t>VII</t>
  </si>
  <si>
    <t>Полезный отпуск тепловой энергии</t>
  </si>
  <si>
    <t>тыс. Гкал</t>
  </si>
  <si>
    <t>1.3.</t>
  </si>
  <si>
    <t>1.4.</t>
  </si>
  <si>
    <t>материалы по техн.обслуживанию</t>
  </si>
  <si>
    <t>6.11.</t>
  </si>
  <si>
    <t>приобретение нормативно-технической литературы</t>
  </si>
  <si>
    <t>VIII</t>
  </si>
  <si>
    <t>тенге/ Гкал</t>
  </si>
  <si>
    <t>тыс.тенге</t>
  </si>
  <si>
    <t>6.9.</t>
  </si>
  <si>
    <t>5.2.</t>
  </si>
  <si>
    <t>%</t>
  </si>
  <si>
    <t>Всего затрат</t>
  </si>
  <si>
    <t xml:space="preserve"> </t>
  </si>
  <si>
    <t>Отклонение</t>
  </si>
  <si>
    <t>Всего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</si>
  <si>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</si>
  <si>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</si>
  <si>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в том числе</t>
  </si>
  <si>
    <t>для потребителей, присоединенных к сетям централизованного теплоснабжения</t>
  </si>
  <si>
    <t>для потребителей, не присоединенных к сетям централизованного теплоснабжения</t>
  </si>
  <si>
    <t>от ТЭЦ-2 пар 16</t>
  </si>
  <si>
    <t>от ТЭЦ-3</t>
  </si>
  <si>
    <t>ИТП</t>
  </si>
  <si>
    <t>ЦТП</t>
  </si>
  <si>
    <t>пар 16</t>
  </si>
  <si>
    <t>горячая вода</t>
  </si>
  <si>
    <t>Удорожание стоимости периодической печати, нормативной документации.</t>
  </si>
  <si>
    <t>Тариф без учета НДС</t>
  </si>
  <si>
    <t>проценты распределения объемов реализации</t>
  </si>
  <si>
    <t>Справочно:</t>
  </si>
  <si>
    <t>тенге</t>
  </si>
  <si>
    <t>Ед.измерения</t>
  </si>
  <si>
    <t>IX</t>
  </si>
  <si>
    <t>X</t>
  </si>
  <si>
    <t>Прочие потребители</t>
  </si>
  <si>
    <t>Объемы для потребителей, присоединенных к сетям централизованного теплоснабжения</t>
  </si>
  <si>
    <t xml:space="preserve">За счет сокращения ремонтов ККМ и КСМ в результате обновления </t>
  </si>
  <si>
    <t>для физических лиц, относящихся к группе население, имеющих общедомовые приборы учета тепловой энергии</t>
  </si>
  <si>
    <t>для физических лиц, относящихся к группе население,  не имеющих общедомовые приборы учета тепловой энергии</t>
  </si>
  <si>
    <t>для физических лиц, относящихся к группе население, проживающих  в ветхих, аварийных жилых помещениях, домах барачного типа, где отсутствует техническая возможность установки общедомовых приборов учета тепловой энергии</t>
  </si>
  <si>
    <t>для прочих потребителей, имеющих общедомовые приборы учета тепловой энергии</t>
  </si>
  <si>
    <t>для прочих потребителей, не имеющих общедомовые приборы учета тепловой энергии</t>
  </si>
  <si>
    <t>для прочих потребителей, расположенных в ветхих, аварийных помещениях, домах барачного типа, где отсутствует техническая возможность установки общедомовых приборов учета тепловой энергии</t>
  </si>
  <si>
    <t>Среднесписочная численность, всего</t>
  </si>
  <si>
    <t>чел.</t>
  </si>
  <si>
    <t>Среднемесячная заработная плата, всего</t>
  </si>
  <si>
    <t>Снабженческая надбавка</t>
  </si>
  <si>
    <t>тенге/Гкал</t>
  </si>
  <si>
    <t>Экономия в связи с сокращением м/часов</t>
  </si>
  <si>
    <t>плата за загрязнение окружающей среды, земельный налог</t>
  </si>
  <si>
    <t>Увеличение количества потребителей  установивших  приборы учета тепловой энергии в целях энергосбережения.</t>
  </si>
  <si>
    <t xml:space="preserve"> (цен, ставок сборов) и тарифных смет</t>
  </si>
  <si>
    <t xml:space="preserve"> субъектов естественных монополий</t>
  </si>
  <si>
    <t xml:space="preserve">на регулируемые услуги (товары, работы) </t>
  </si>
  <si>
    <t>Наименование показателей тарифной сметы</t>
  </si>
  <si>
    <t>Куда представляется форма: в Комитет по регулированию естественных монополий и защите конкуренции Министерства национальной экономики Республики Казахстан</t>
  </si>
  <si>
    <t>Срок представления - ежегодно не позднее 1 мая года, следующего за отчетным периодом</t>
  </si>
  <si>
    <t>Наименование организации "ТОО Павлодарэнергосбыт"</t>
  </si>
  <si>
    <t>М.П.</t>
  </si>
  <si>
    <t xml:space="preserve"> За счет заниженной  средней з/п в утвержденной тарифной смете.</t>
  </si>
  <si>
    <t xml:space="preserve">Приложение 1 </t>
  </si>
  <si>
    <t xml:space="preserve"> к Правилам утверждения  предельного уровня тарифов</t>
  </si>
  <si>
    <t>Регулируемая база задействованных активов (РБА)</t>
  </si>
  <si>
    <t>За счет снижения объемов потребления потребителями неприсоединенных к сетям ТОО "ПТС"  (ТОО "Компания Нефтехим LTD", ГУ "АП 162/3")</t>
  </si>
  <si>
    <t>В соответствии с требованием по условиям труда</t>
  </si>
  <si>
    <t>Убытки от применения диф.тарифов.</t>
  </si>
  <si>
    <t>За счет фактически сложившейся  средней з/п, (в утвержденной тарифной смете УО учтена в размере 53 784 тенге, по факту 72 885 тенге.)</t>
  </si>
  <si>
    <t>За счет увеличения стоимости арендной платы</t>
  </si>
  <si>
    <t>За счет заниженной суммы в тарифной смете. Размещение в СМИ  объявлениий по изменению тарифов,публичных слушаний, исполнение инвестицион.прогр. и др.</t>
  </si>
  <si>
    <t>Покупная энергия в горячей воде от ТЭЦ-3 АО "ПАВЛОДАРЭНЕРГО"</t>
  </si>
  <si>
    <t>Покупная энергия в паре от ТЭЦ-3 и ТЭЦ-2  АО "ПАВЛОДАРЭНЕРГО"</t>
  </si>
  <si>
    <t>Затраты на производство товаров и предоставление услуг, всего</t>
  </si>
  <si>
    <t>прочие услуги (обслуживание ККМ, КСМ)</t>
  </si>
  <si>
    <t>Физические лица</t>
  </si>
  <si>
    <t>увеличение за счет:   
-  инфляции,  в связи, с чем  выросли цены поставщиков на расходные материалы АСУ (в 2015г. картриджи для распечатки ЕПД приобретались по цене – 98 352 тенге, в 2016г. цена поставщиков увеличилась на 23% и составила 121 314 тенге за единицу).</t>
  </si>
  <si>
    <t>В соответствии с заключенным договором</t>
  </si>
  <si>
    <t>В соответствии с заключенными договорами</t>
  </si>
  <si>
    <t>За счет роста МРП, увеличения стоимости услуг ж.д. билетов и увеличения командировок, связанных с производ. необходимостью.</t>
  </si>
  <si>
    <t>Генеральный директор                               Т.Г.Аргинов</t>
  </si>
  <si>
    <t>№ 213-ОД от 17.07.2013 года</t>
  </si>
  <si>
    <t>Отчет об исполнении тарифной сметы на услуги по снабжению тепловой энергией г.Павлодара ТОО "Павлодарэнергосбыт"</t>
  </si>
  <si>
    <t>Индекс: ОИТС-1</t>
  </si>
  <si>
    <t>Представляет: ТОО "Павлодарэнергосбыт"</t>
  </si>
  <si>
    <t>Экономия в пределах допустимых норм</t>
  </si>
  <si>
    <t>Периодичность: годовая</t>
  </si>
  <si>
    <t xml:space="preserve">Куда представляется форма: в Комитет по регулированию естественных монополий и защите конкуренции Министерства </t>
  </si>
  <si>
    <t>национальной экономики Республики Казахстан</t>
  </si>
  <si>
    <t>Наименование показателей в тарифной смете</t>
  </si>
  <si>
    <t>Ед. изм</t>
  </si>
  <si>
    <t>Отклонение в %</t>
  </si>
  <si>
    <t>Затраты на производство товаров и предоставление услуг</t>
  </si>
  <si>
    <t xml:space="preserve">за счет снижения объемов потребления       </t>
  </si>
  <si>
    <t>материалы АСУ</t>
  </si>
  <si>
    <t>увеличение за счет:   
-  инфляции,  в связи, с чем  выросли цены на материалы. Увеличения цены поставщиков на расходные материалы АСУ (в 2015г. картриджи для распечатки ЕПД приобретались по цене – 98 352 тенге, с января 2016г. цена поставщиков увеличилась на 23% и составила 121 314 тенге за единицу).</t>
  </si>
  <si>
    <t xml:space="preserve"> -"-</t>
  </si>
  <si>
    <t>за счет фактически сложившейся  среднемесячной зарплаты (в утвержденной тарифной смете У.О.учтена в размере 51 808 тенге, по факту 71 403тенге.</t>
  </si>
  <si>
    <t>социальный налог и соц.страхование</t>
  </si>
  <si>
    <t>Приобретены ОС , НМА</t>
  </si>
  <si>
    <t>услуги по транспорту</t>
  </si>
  <si>
    <t>За счет открытия дополнительного пункта приема платежей по ул.М.Жусупа 42, в утвержденной тарифной смете данные затраты  У.О. не были учтены</t>
  </si>
  <si>
    <t>техническое обслуживание компьютерной техники</t>
  </si>
  <si>
    <t>5.3.</t>
  </si>
  <si>
    <t>техническое обслуживание ККМ</t>
  </si>
  <si>
    <t>За счет открытия дополнительного пункта приема платежей по ул.М.Жусупа 42, в утвержденной тарифной смете  данные затраты  У.О.не были учтены</t>
  </si>
  <si>
    <t>услуги охраны</t>
  </si>
  <si>
    <t>За счет открытия дополнительного пункта приема платежей по ул.М.Жусупа 42, в утвержденной тарифной смете У.О. данные затраты не были учтены</t>
  </si>
  <si>
    <t>аренда помещений</t>
  </si>
  <si>
    <t>услуги банка по инкассации</t>
  </si>
  <si>
    <t>В связи с увеличением объема платежей от потребителей в  пункты приема платежей, в том числе на М.Жусупа 42</t>
  </si>
  <si>
    <t>канцелярские и почтово-телеграфные расходы</t>
  </si>
  <si>
    <t>затраты по ТБ и ОТ</t>
  </si>
  <si>
    <t xml:space="preserve">коммунальные услуги </t>
  </si>
  <si>
    <t>проездные билеты</t>
  </si>
  <si>
    <t>6.13.</t>
  </si>
  <si>
    <t>периодическая печать</t>
  </si>
  <si>
    <t>Доход (РБА*СП/1-(КПН/100))</t>
  </si>
  <si>
    <t>Убытки от применения диф.тарифов, а также  за счет снижения объема потребления крупных потребителей.</t>
  </si>
  <si>
    <t>тыс.Гкал</t>
  </si>
  <si>
    <t>за счет снижения объемов потребления</t>
  </si>
  <si>
    <t>населения</t>
  </si>
  <si>
    <t>1) оснащение приборами коммерческого учета;                                                                    2) ранним окончанием отопительного сезона 2015-2016гг. (19.04.16г.);
3)  выполнением перерасчета стоимости услуг по бытовым потребителям с учетом фактической температуры наружного воздуха.</t>
  </si>
  <si>
    <t>прочие</t>
  </si>
  <si>
    <t>Средний тариф</t>
  </si>
  <si>
    <t>за счет применения тарифов в соответствии с приказами № 179-ОД от 25.11.2015 г., № 66-ОД  от 31.05.2016 г.</t>
  </si>
  <si>
    <t>для населения</t>
  </si>
  <si>
    <t>для прочих</t>
  </si>
  <si>
    <t>прочие потребители</t>
  </si>
  <si>
    <t>Численность</t>
  </si>
  <si>
    <t>человек</t>
  </si>
  <si>
    <t>Среднемесячная заработная плата</t>
  </si>
  <si>
    <t>Фактически сложившееся среднемесячная заработная плата</t>
  </si>
  <si>
    <t>Генеральный директор                                                                              Т.Г.Аргинов</t>
  </si>
  <si>
    <t>сбытовая по юр.лицам</t>
  </si>
  <si>
    <t>Всего, сбытовая</t>
  </si>
  <si>
    <t>доход от компенсирующего тарифа</t>
  </si>
  <si>
    <t>доход от перерасчета передачи и распред.</t>
  </si>
  <si>
    <t>Затраты по сбытовой</t>
  </si>
  <si>
    <t>Прибыль/убыток</t>
  </si>
  <si>
    <t>Отчет об исполнении тарифной сметы на услуги по снабжению тепловой энергией г.Экибастуз  ТОО "Павлодарэнергосбыт"</t>
  </si>
  <si>
    <t>Предусмотрено в утвержденной тарифной смете на 2016г.</t>
  </si>
  <si>
    <t>Фактически  сложившиеся показатели тарифной сметы за 2016г.</t>
  </si>
  <si>
    <t>Фактически сложившиеся показатели тарифной сметы за 2016г.</t>
  </si>
  <si>
    <t>Причины отклонений</t>
  </si>
  <si>
    <r>
      <t xml:space="preserve">Отчетный период </t>
    </r>
    <r>
      <rPr>
        <u val="single"/>
        <sz val="12"/>
        <rFont val="Times New Roman"/>
        <family val="1"/>
      </rPr>
      <t>2016 год</t>
    </r>
  </si>
  <si>
    <r>
      <t xml:space="preserve">Адрес </t>
    </r>
    <r>
      <rPr>
        <u val="single"/>
        <sz val="12"/>
        <rFont val="Times New Roman"/>
        <family val="1"/>
      </rPr>
      <t>г.Павлодар ул.Кривенко,27</t>
    </r>
  </si>
  <si>
    <r>
      <t xml:space="preserve">Телефон </t>
    </r>
    <r>
      <rPr>
        <u val="single"/>
        <sz val="12"/>
        <rFont val="Times New Roman"/>
        <family val="1"/>
      </rPr>
      <t>39-95-24</t>
    </r>
  </si>
  <si>
    <r>
      <t xml:space="preserve">Адрес электронной почты </t>
    </r>
    <r>
      <rPr>
        <u val="single"/>
        <sz val="12"/>
        <rFont val="Times New Roman"/>
        <family val="1"/>
      </rPr>
      <t>office@pavlodarenergo.kz</t>
    </r>
  </si>
  <si>
    <r>
      <t xml:space="preserve">Фамилия и телефон исполнителя </t>
    </r>
    <r>
      <rPr>
        <u val="single"/>
        <sz val="12"/>
        <rFont val="Times New Roman"/>
        <family val="1"/>
      </rPr>
      <t>Омарова т.39-96-55</t>
    </r>
  </si>
  <si>
    <r>
      <t xml:space="preserve">Фамилия и телефон исполнителя </t>
    </r>
    <r>
      <rPr>
        <u val="single"/>
        <sz val="12"/>
        <rFont val="Times New Roman"/>
        <family val="1"/>
      </rPr>
      <t>Члек т.39-95-72</t>
    </r>
  </si>
  <si>
    <t>Дата  "____ " ______________ 2017 год</t>
  </si>
  <si>
    <t>Дата  "___  "___________2017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</si>
</sst>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"/>
    <numFmt numFmtId="172" formatCode="0.0"/>
    <numFmt numFmtId="173" formatCode="#,##0.0000"/>
    <numFmt numFmtId="174" formatCode="#,##0.00000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-;\-* #,##0.00_-;_-* &quot;-&quot;??_-;_-@_-"/>
    <numFmt numFmtId="181" formatCode="_-* #,##0_-;\-* #,##0_-;_-* &quot;-&quot;??_-;_-@_-"/>
    <numFmt numFmtId="182" formatCode="_-* #,##0.000_-;\-* #,##0.000_-;_-* &quot;-&quot;??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color indexed="9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4" fillId="0" borderId="0" xfId="0" applyFont="1" applyFill="1" applyAlignment="1">
      <alignment/>
    </xf>
    <xf numFmtId="4" fontId="5" fillId="0" borderId="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 horizontal="left" vertical="center"/>
    </xf>
    <xf numFmtId="0" fontId="5" fillId="34" borderId="0" xfId="0" applyFont="1" applyFill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vertical="center" wrapText="1"/>
    </xf>
    <xf numFmtId="0" fontId="49" fillId="0" borderId="14" xfId="0" applyFont="1" applyFill="1" applyBorder="1" applyAlignment="1">
      <alignment wrapText="1"/>
    </xf>
    <xf numFmtId="0" fontId="9" fillId="0" borderId="17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/>
    </xf>
    <xf numFmtId="4" fontId="8" fillId="0" borderId="17" xfId="0" applyNumberFormat="1" applyFont="1" applyFill="1" applyBorder="1" applyAlignment="1">
      <alignment/>
    </xf>
    <xf numFmtId="4" fontId="8" fillId="0" borderId="14" xfId="0" applyNumberFormat="1" applyFont="1" applyFill="1" applyBorder="1" applyAlignment="1">
      <alignment wrapText="1"/>
    </xf>
    <xf numFmtId="4" fontId="8" fillId="0" borderId="18" xfId="0" applyNumberFormat="1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/>
    </xf>
    <xf numFmtId="0" fontId="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6" fillId="0" borderId="21" xfId="0" applyFont="1" applyBorder="1" applyAlignment="1">
      <alignment wrapText="1"/>
    </xf>
    <xf numFmtId="0" fontId="5" fillId="0" borderId="21" xfId="0" applyFont="1" applyBorder="1" applyAlignment="1">
      <alignment/>
    </xf>
    <xf numFmtId="3" fontId="6" fillId="34" borderId="21" xfId="0" applyNumberFormat="1" applyFont="1" applyFill="1" applyBorder="1" applyAlignment="1">
      <alignment/>
    </xf>
    <xf numFmtId="3" fontId="5" fillId="34" borderId="21" xfId="0" applyNumberFormat="1" applyFont="1" applyFill="1" applyBorder="1" applyAlignment="1">
      <alignment/>
    </xf>
    <xf numFmtId="175" fontId="6" fillId="0" borderId="21" xfId="0" applyNumberFormat="1" applyFont="1" applyBorder="1" applyAlignment="1">
      <alignment/>
    </xf>
    <xf numFmtId="0" fontId="6" fillId="0" borderId="21" xfId="0" applyFont="1" applyBorder="1" applyAlignment="1">
      <alignment/>
    </xf>
    <xf numFmtId="175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3" fontId="5" fillId="34" borderId="21" xfId="0" applyNumberFormat="1" applyFont="1" applyFill="1" applyBorder="1" applyAlignment="1">
      <alignment horizontal="right" vertical="center"/>
    </xf>
    <xf numFmtId="175" fontId="5" fillId="0" borderId="21" xfId="0" applyNumberFormat="1" applyFont="1" applyBorder="1" applyAlignment="1">
      <alignment horizontal="right" vertical="center"/>
    </xf>
    <xf numFmtId="9" fontId="5" fillId="0" borderId="21" xfId="0" applyNumberFormat="1" applyFont="1" applyBorder="1" applyAlignment="1">
      <alignment horizontal="right" vertical="center"/>
    </xf>
    <xf numFmtId="9" fontId="6" fillId="0" borderId="21" xfId="0" applyNumberFormat="1" applyFont="1" applyBorder="1" applyAlignment="1">
      <alignment/>
    </xf>
    <xf numFmtId="0" fontId="5" fillId="0" borderId="21" xfId="0" applyFont="1" applyBorder="1" applyAlignment="1">
      <alignment wrapText="1"/>
    </xf>
    <xf numFmtId="0" fontId="5" fillId="34" borderId="21" xfId="0" applyFont="1" applyFill="1" applyBorder="1" applyAlignment="1">
      <alignment vertical="center" wrapText="1"/>
    </xf>
    <xf numFmtId="9" fontId="5" fillId="0" borderId="21" xfId="0" applyNumberFormat="1" applyFont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vertical="center" wrapText="1"/>
    </xf>
    <xf numFmtId="181" fontId="5" fillId="34" borderId="21" xfId="61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181" fontId="5" fillId="0" borderId="21" xfId="61" applyNumberFormat="1" applyFont="1" applyFill="1" applyBorder="1" applyAlignment="1">
      <alignment/>
    </xf>
    <xf numFmtId="4" fontId="6" fillId="34" borderId="21" xfId="0" applyNumberFormat="1" applyFont="1" applyFill="1" applyBorder="1" applyAlignment="1">
      <alignment/>
    </xf>
    <xf numFmtId="171" fontId="6" fillId="34" borderId="21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6" fillId="34" borderId="21" xfId="0" applyFont="1" applyFill="1" applyBorder="1" applyAlignment="1">
      <alignment/>
    </xf>
    <xf numFmtId="169" fontId="6" fillId="34" borderId="21" xfId="0" applyNumberFormat="1" applyFont="1" applyFill="1" applyBorder="1" applyAlignment="1">
      <alignment/>
    </xf>
    <xf numFmtId="182" fontId="6" fillId="34" borderId="21" xfId="61" applyNumberFormat="1" applyFont="1" applyFill="1" applyBorder="1" applyAlignment="1">
      <alignment/>
    </xf>
    <xf numFmtId="43" fontId="6" fillId="34" borderId="21" xfId="61" applyFont="1" applyFill="1" applyBorder="1" applyAlignment="1">
      <alignment/>
    </xf>
    <xf numFmtId="0" fontId="5" fillId="34" borderId="21" xfId="0" applyFont="1" applyFill="1" applyBorder="1" applyAlignment="1">
      <alignment wrapText="1"/>
    </xf>
    <xf numFmtId="0" fontId="5" fillId="0" borderId="21" xfId="0" applyFont="1" applyBorder="1" applyAlignment="1">
      <alignment vertical="center" wrapText="1"/>
    </xf>
    <xf numFmtId="175" fontId="5" fillId="34" borderId="21" xfId="0" applyNumberFormat="1" applyFont="1" applyFill="1" applyBorder="1" applyAlignment="1">
      <alignment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3" fontId="5" fillId="0" borderId="0" xfId="53" applyNumberFormat="1" applyFont="1">
      <alignment/>
      <protection/>
    </xf>
    <xf numFmtId="1" fontId="5" fillId="0" borderId="0" xfId="53" applyNumberFormat="1" applyFont="1">
      <alignment/>
      <protection/>
    </xf>
    <xf numFmtId="3" fontId="5" fillId="0" borderId="0" xfId="53" applyNumberFormat="1" applyFont="1" applyAlignment="1">
      <alignment wrapText="1"/>
      <protection/>
    </xf>
    <xf numFmtId="0" fontId="5" fillId="0" borderId="0" xfId="0" applyFont="1" applyBorder="1" applyAlignment="1">
      <alignment horizontal="center" wrapText="1"/>
    </xf>
    <xf numFmtId="0" fontId="50" fillId="0" borderId="0" xfId="53" applyFont="1" applyFill="1">
      <alignment/>
      <protection/>
    </xf>
    <xf numFmtId="0" fontId="50" fillId="0" borderId="0" xfId="53" applyFont="1">
      <alignment/>
      <protection/>
    </xf>
    <xf numFmtId="3" fontId="50" fillId="0" borderId="0" xfId="53" applyNumberFormat="1" applyFont="1">
      <alignment/>
      <protection/>
    </xf>
    <xf numFmtId="0" fontId="6" fillId="0" borderId="0" xfId="0" applyFont="1" applyAlignment="1">
      <alignment horizontal="center"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4" borderId="0" xfId="0" applyFont="1" applyFill="1" applyAlignment="1">
      <alignment horizontal="left" vertical="center"/>
    </xf>
    <xf numFmtId="0" fontId="6" fillId="34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0" fillId="0" borderId="0" xfId="0" applyFont="1" applyFill="1" applyAlignment="1">
      <alignment horizontal="right"/>
    </xf>
    <xf numFmtId="0" fontId="51" fillId="0" borderId="0" xfId="0" applyFont="1" applyFill="1" applyAlignment="1">
      <alignment horizontal="right"/>
    </xf>
    <xf numFmtId="3" fontId="50" fillId="0" borderId="0" xfId="0" applyNumberFormat="1" applyFont="1" applyAlignment="1">
      <alignment/>
    </xf>
    <xf numFmtId="49" fontId="50" fillId="0" borderId="0" xfId="0" applyNumberFormat="1" applyFont="1" applyFill="1" applyAlignment="1">
      <alignment horizontal="right"/>
    </xf>
    <xf numFmtId="49" fontId="51" fillId="0" borderId="0" xfId="0" applyNumberFormat="1" applyFont="1" applyFill="1" applyAlignment="1">
      <alignment horizontal="right"/>
    </xf>
    <xf numFmtId="0" fontId="50" fillId="0" borderId="0" xfId="0" applyFont="1" applyAlignment="1">
      <alignment/>
    </xf>
    <xf numFmtId="4" fontId="50" fillId="0" borderId="0" xfId="0" applyNumberFormat="1" applyFont="1" applyAlignment="1">
      <alignment/>
    </xf>
    <xf numFmtId="4" fontId="5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2" fontId="6" fillId="3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3" fontId="6" fillId="34" borderId="0" xfId="0" applyNumberFormat="1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9" fontId="6" fillId="0" borderId="36" xfId="58" applyFont="1" applyFill="1" applyBorder="1" applyAlignment="1">
      <alignment vertical="center"/>
    </xf>
    <xf numFmtId="9" fontId="5" fillId="0" borderId="37" xfId="58" applyFont="1" applyFill="1" applyBorder="1" applyAlignment="1">
      <alignment vertical="center"/>
    </xf>
    <xf numFmtId="9" fontId="5" fillId="0" borderId="35" xfId="58" applyFont="1" applyFill="1" applyBorder="1" applyAlignment="1">
      <alignment vertical="center"/>
    </xf>
    <xf numFmtId="9" fontId="5" fillId="0" borderId="36" xfId="58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3" fontId="5" fillId="0" borderId="41" xfId="0" applyNumberFormat="1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9" fontId="6" fillId="0" borderId="39" xfId="58" applyFont="1" applyFill="1" applyBorder="1" applyAlignment="1">
      <alignment vertical="center"/>
    </xf>
    <xf numFmtId="9" fontId="5" fillId="0" borderId="42" xfId="58" applyFont="1" applyFill="1" applyBorder="1" applyAlignment="1">
      <alignment vertical="center"/>
    </xf>
    <xf numFmtId="9" fontId="5" fillId="0" borderId="40" xfId="58" applyFont="1" applyFill="1" applyBorder="1" applyAlignment="1">
      <alignment vertical="center"/>
    </xf>
    <xf numFmtId="9" fontId="5" fillId="0" borderId="41" xfId="58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3" fontId="6" fillId="0" borderId="41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9" fontId="6" fillId="0" borderId="45" xfId="58" applyFont="1" applyFill="1" applyBorder="1" applyAlignment="1">
      <alignment vertical="center"/>
    </xf>
    <xf numFmtId="9" fontId="5" fillId="0" borderId="46" xfId="58" applyFont="1" applyFill="1" applyBorder="1" applyAlignment="1">
      <alignment vertical="center"/>
    </xf>
    <xf numFmtId="9" fontId="5" fillId="0" borderId="16" xfId="58" applyFont="1" applyFill="1" applyBorder="1" applyAlignment="1">
      <alignment vertical="center"/>
    </xf>
    <xf numFmtId="9" fontId="5" fillId="0" borderId="45" xfId="5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9" fontId="6" fillId="0" borderId="46" xfId="58" applyFont="1" applyFill="1" applyBorder="1" applyAlignment="1">
      <alignment vertical="center"/>
    </xf>
    <xf numFmtId="9" fontId="6" fillId="0" borderId="16" xfId="58" applyFont="1" applyFill="1" applyBorder="1" applyAlignment="1">
      <alignment vertical="center"/>
    </xf>
    <xf numFmtId="3" fontId="5" fillId="34" borderId="41" xfId="0" applyNumberFormat="1" applyFont="1" applyFill="1" applyBorder="1" applyAlignment="1">
      <alignment vertical="center"/>
    </xf>
    <xf numFmtId="3" fontId="6" fillId="34" borderId="41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3" fontId="5" fillId="0" borderId="39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3" fontId="5" fillId="0" borderId="47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8" xfId="0" applyNumberFormat="1" applyFont="1" applyFill="1" applyBorder="1" applyAlignment="1">
      <alignment vertical="center"/>
    </xf>
    <xf numFmtId="3" fontId="5" fillId="34" borderId="45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 wrapText="1"/>
    </xf>
    <xf numFmtId="3" fontId="6" fillId="0" borderId="45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34" borderId="4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5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3" fontId="6" fillId="34" borderId="42" xfId="0" applyNumberFormat="1" applyFont="1" applyFill="1" applyBorder="1" applyAlignment="1">
      <alignment vertical="center"/>
    </xf>
    <xf numFmtId="3" fontId="6" fillId="34" borderId="49" xfId="0" applyNumberFormat="1" applyFont="1" applyFill="1" applyBorder="1" applyAlignment="1">
      <alignment vertical="center"/>
    </xf>
    <xf numFmtId="3" fontId="6" fillId="34" borderId="46" xfId="0" applyNumberFormat="1" applyFont="1" applyFill="1" applyBorder="1" applyAlignment="1">
      <alignment vertical="center"/>
    </xf>
    <xf numFmtId="3" fontId="6" fillId="34" borderId="16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" fontId="5" fillId="0" borderId="39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 wrapText="1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34" borderId="52" xfId="0" applyNumberFormat="1" applyFont="1" applyFill="1" applyBorder="1" applyAlignment="1">
      <alignment vertical="center"/>
    </xf>
    <xf numFmtId="171" fontId="6" fillId="0" borderId="41" xfId="0" applyNumberFormat="1" applyFont="1" applyFill="1" applyBorder="1" applyAlignment="1">
      <alignment vertical="center"/>
    </xf>
    <xf numFmtId="171" fontId="6" fillId="0" borderId="42" xfId="0" applyNumberFormat="1" applyFont="1" applyFill="1" applyBorder="1" applyAlignment="1">
      <alignment vertical="center"/>
    </xf>
    <xf numFmtId="171" fontId="6" fillId="0" borderId="40" xfId="0" applyNumberFormat="1" applyFont="1" applyFill="1" applyBorder="1" applyAlignment="1">
      <alignment vertical="center"/>
    </xf>
    <xf numFmtId="171" fontId="6" fillId="34" borderId="41" xfId="0" applyNumberFormat="1" applyFont="1" applyFill="1" applyBorder="1" applyAlignment="1">
      <alignment vertical="center"/>
    </xf>
    <xf numFmtId="171" fontId="6" fillId="0" borderId="14" xfId="0" applyNumberFormat="1" applyFont="1" applyFill="1" applyBorder="1" applyAlignment="1">
      <alignment vertical="center"/>
    </xf>
    <xf numFmtId="171" fontId="6" fillId="0" borderId="44" xfId="0" applyNumberFormat="1" applyFont="1" applyFill="1" applyBorder="1" applyAlignment="1">
      <alignment vertical="center"/>
    </xf>
    <xf numFmtId="171" fontId="6" fillId="0" borderId="43" xfId="0" applyNumberFormat="1" applyFont="1" applyFill="1" applyBorder="1" applyAlignment="1">
      <alignment vertical="center"/>
    </xf>
    <xf numFmtId="9" fontId="6" fillId="0" borderId="41" xfId="58" applyFont="1" applyFill="1" applyBorder="1" applyAlignment="1">
      <alignment vertical="center"/>
    </xf>
    <xf numFmtId="9" fontId="6" fillId="0" borderId="42" xfId="58" applyFont="1" applyFill="1" applyBorder="1" applyAlignment="1">
      <alignment vertical="center"/>
    </xf>
    <xf numFmtId="9" fontId="6" fillId="0" borderId="40" xfId="58" applyFont="1" applyFill="1" applyBorder="1" applyAlignment="1">
      <alignment vertical="center"/>
    </xf>
    <xf numFmtId="4" fontId="12" fillId="0" borderId="41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6" fillId="0" borderId="41" xfId="0" applyNumberFormat="1" applyFont="1" applyFill="1" applyBorder="1" applyAlignment="1">
      <alignment vertical="center"/>
    </xf>
    <xf numFmtId="4" fontId="6" fillId="34" borderId="41" xfId="0" applyNumberFormat="1" applyFont="1" applyFill="1" applyBorder="1" applyAlignment="1">
      <alignment vertical="center"/>
    </xf>
    <xf numFmtId="4" fontId="6" fillId="0" borderId="14" xfId="0" applyNumberFormat="1" applyFont="1" applyFill="1" applyBorder="1" applyAlignment="1">
      <alignment vertical="center"/>
    </xf>
    <xf numFmtId="4" fontId="6" fillId="0" borderId="44" xfId="0" applyNumberFormat="1" applyFont="1" applyFill="1" applyBorder="1" applyAlignment="1">
      <alignment vertical="center"/>
    </xf>
    <xf numFmtId="4" fontId="6" fillId="0" borderId="43" xfId="0" applyNumberFormat="1" applyFont="1" applyFill="1" applyBorder="1" applyAlignment="1">
      <alignment vertical="center"/>
    </xf>
    <xf numFmtId="0" fontId="6" fillId="0" borderId="20" xfId="0" applyFont="1" applyFill="1" applyBorder="1" applyAlignment="1">
      <alignment wrapText="1"/>
    </xf>
    <xf numFmtId="171" fontId="6" fillId="0" borderId="17" xfId="0" applyNumberFormat="1" applyFont="1" applyFill="1" applyBorder="1" applyAlignment="1">
      <alignment vertical="center"/>
    </xf>
    <xf numFmtId="171" fontId="6" fillId="0" borderId="46" xfId="0" applyNumberFormat="1" applyFont="1" applyFill="1" applyBorder="1" applyAlignment="1">
      <alignment vertical="center"/>
    </xf>
    <xf numFmtId="171" fontId="6" fillId="0" borderId="48" xfId="0" applyNumberFormat="1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171" fontId="6" fillId="34" borderId="46" xfId="0" applyNumberFormat="1" applyFont="1" applyFill="1" applyBorder="1" applyAlignment="1">
      <alignment vertical="center"/>
    </xf>
    <xf numFmtId="171" fontId="6" fillId="0" borderId="16" xfId="0" applyNumberFormat="1" applyFont="1" applyFill="1" applyBorder="1" applyAlignment="1">
      <alignment vertical="center"/>
    </xf>
    <xf numFmtId="4" fontId="5" fillId="0" borderId="45" xfId="0" applyNumberFormat="1" applyFont="1" applyFill="1" applyBorder="1" applyAlignment="1">
      <alignment vertical="center"/>
    </xf>
    <xf numFmtId="4" fontId="5" fillId="0" borderId="4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wrapText="1"/>
    </xf>
    <xf numFmtId="4" fontId="6" fillId="0" borderId="46" xfId="0" applyNumberFormat="1" applyFont="1" applyFill="1" applyBorder="1" applyAlignment="1">
      <alignment vertical="center"/>
    </xf>
    <xf numFmtId="4" fontId="6" fillId="0" borderId="48" xfId="0" applyNumberFormat="1" applyFont="1" applyFill="1" applyBorder="1" applyAlignment="1">
      <alignment vertical="center"/>
    </xf>
    <xf numFmtId="4" fontId="5" fillId="34" borderId="17" xfId="0" applyNumberFormat="1" applyFont="1" applyFill="1" applyBorder="1" applyAlignment="1">
      <alignment/>
    </xf>
    <xf numFmtId="171" fontId="5" fillId="0" borderId="46" xfId="0" applyNumberFormat="1" applyFont="1" applyFill="1" applyBorder="1" applyAlignment="1">
      <alignment vertical="center"/>
    </xf>
    <xf numFmtId="171" fontId="5" fillId="0" borderId="16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wrapText="1"/>
    </xf>
    <xf numFmtId="171" fontId="5" fillId="0" borderId="14" xfId="0" applyNumberFormat="1" applyFont="1" applyFill="1" applyBorder="1" applyAlignment="1">
      <alignment vertical="center"/>
    </xf>
    <xf numFmtId="171" fontId="5" fillId="0" borderId="42" xfId="0" applyNumberFormat="1" applyFont="1" applyFill="1" applyBorder="1" applyAlignment="1">
      <alignment vertical="center"/>
    </xf>
    <xf numFmtId="171" fontId="5" fillId="0" borderId="43" xfId="0" applyNumberFormat="1" applyFont="1" applyFill="1" applyBorder="1" applyAlignment="1">
      <alignment vertical="center"/>
    </xf>
    <xf numFmtId="4" fontId="5" fillId="0" borderId="41" xfId="0" applyNumberFormat="1" applyFont="1" applyFill="1" applyBorder="1" applyAlignment="1">
      <alignment/>
    </xf>
    <xf numFmtId="4" fontId="5" fillId="0" borderId="42" xfId="0" applyNumberFormat="1" applyFont="1" applyFill="1" applyBorder="1" applyAlignment="1">
      <alignment/>
    </xf>
    <xf numFmtId="171" fontId="5" fillId="34" borderId="14" xfId="0" applyNumberFormat="1" applyFont="1" applyFill="1" applyBorder="1" applyAlignment="1">
      <alignment horizontal="center" vertical="center"/>
    </xf>
    <xf numFmtId="171" fontId="5" fillId="0" borderId="40" xfId="0" applyNumberFormat="1" applyFont="1" applyFill="1" applyBorder="1" applyAlignment="1">
      <alignment vertical="center"/>
    </xf>
    <xf numFmtId="4" fontId="5" fillId="0" borderId="41" xfId="0" applyNumberFormat="1" applyFont="1" applyFill="1" applyBorder="1" applyAlignment="1">
      <alignment vertical="center"/>
    </xf>
    <xf numFmtId="4" fontId="5" fillId="0" borderId="42" xfId="0" applyNumberFormat="1" applyFont="1" applyFill="1" applyBorder="1" applyAlignment="1">
      <alignment vertical="center"/>
    </xf>
    <xf numFmtId="4" fontId="5" fillId="0" borderId="40" xfId="0" applyNumberFormat="1" applyFont="1" applyFill="1" applyBorder="1" applyAlignment="1">
      <alignment vertical="center"/>
    </xf>
    <xf numFmtId="0" fontId="5" fillId="0" borderId="55" xfId="0" applyFont="1" applyFill="1" applyBorder="1" applyAlignment="1">
      <alignment wrapText="1"/>
    </xf>
    <xf numFmtId="49" fontId="6" fillId="0" borderId="56" xfId="0" applyNumberFormat="1" applyFont="1" applyFill="1" applyBorder="1" applyAlignment="1">
      <alignment horizontal="center" vertical="center" wrapText="1"/>
    </xf>
    <xf numFmtId="171" fontId="5" fillId="0" borderId="57" xfId="0" applyNumberFormat="1" applyFont="1" applyFill="1" applyBorder="1" applyAlignment="1">
      <alignment vertical="center"/>
    </xf>
    <xf numFmtId="171" fontId="5" fillId="0" borderId="58" xfId="0" applyNumberFormat="1" applyFont="1" applyFill="1" applyBorder="1" applyAlignment="1">
      <alignment vertical="center"/>
    </xf>
    <xf numFmtId="4" fontId="5" fillId="0" borderId="59" xfId="0" applyNumberFormat="1" applyFont="1" applyFill="1" applyBorder="1" applyAlignment="1">
      <alignment/>
    </xf>
    <xf numFmtId="4" fontId="5" fillId="0" borderId="57" xfId="0" applyNumberFormat="1" applyFont="1" applyFill="1" applyBorder="1" applyAlignment="1">
      <alignment/>
    </xf>
    <xf numFmtId="171" fontId="5" fillId="34" borderId="55" xfId="0" applyNumberFormat="1" applyFont="1" applyFill="1" applyBorder="1" applyAlignment="1">
      <alignment horizontal="center" vertical="center"/>
    </xf>
    <xf numFmtId="171" fontId="5" fillId="0" borderId="56" xfId="0" applyNumberFormat="1" applyFont="1" applyFill="1" applyBorder="1" applyAlignment="1">
      <alignment vertical="center"/>
    </xf>
    <xf numFmtId="4" fontId="5" fillId="0" borderId="59" xfId="0" applyNumberFormat="1" applyFont="1" applyFill="1" applyBorder="1" applyAlignment="1">
      <alignment vertical="center"/>
    </xf>
    <xf numFmtId="4" fontId="5" fillId="0" borderId="57" xfId="0" applyNumberFormat="1" applyFont="1" applyFill="1" applyBorder="1" applyAlignment="1">
      <alignment vertical="center"/>
    </xf>
    <xf numFmtId="4" fontId="5" fillId="0" borderId="56" xfId="0" applyNumberFormat="1" applyFont="1" applyFill="1" applyBorder="1" applyAlignment="1">
      <alignment vertical="center"/>
    </xf>
    <xf numFmtId="9" fontId="5" fillId="0" borderId="60" xfId="58" applyFont="1" applyFill="1" applyBorder="1" applyAlignment="1">
      <alignment vertical="center"/>
    </xf>
    <xf numFmtId="9" fontId="5" fillId="0" borderId="61" xfId="58" applyFont="1" applyFill="1" applyBorder="1" applyAlignment="1">
      <alignment vertical="center"/>
    </xf>
    <xf numFmtId="9" fontId="5" fillId="0" borderId="19" xfId="58" applyFont="1" applyFill="1" applyBorder="1" applyAlignment="1">
      <alignment vertical="center"/>
    </xf>
    <xf numFmtId="0" fontId="6" fillId="0" borderId="20" xfId="0" applyFont="1" applyBorder="1" applyAlignment="1">
      <alignment wrapText="1"/>
    </xf>
    <xf numFmtId="0" fontId="5" fillId="0" borderId="34" xfId="0" applyFont="1" applyFill="1" applyBorder="1" applyAlignment="1">
      <alignment/>
    </xf>
    <xf numFmtId="4" fontId="6" fillId="0" borderId="37" xfId="0" applyNumberFormat="1" applyFont="1" applyFill="1" applyBorder="1" applyAlignment="1">
      <alignment vertical="center"/>
    </xf>
    <xf numFmtId="4" fontId="6" fillId="0" borderId="62" xfId="0" applyNumberFormat="1" applyFont="1" applyFill="1" applyBorder="1" applyAlignment="1">
      <alignment vertical="center"/>
    </xf>
    <xf numFmtId="4" fontId="6" fillId="0" borderId="20" xfId="0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63" xfId="0" applyNumberFormat="1" applyFont="1" applyFill="1" applyBorder="1" applyAlignment="1">
      <alignment vertical="center"/>
    </xf>
    <xf numFmtId="0" fontId="5" fillId="34" borderId="34" xfId="0" applyFont="1" applyFill="1" applyBorder="1" applyAlignment="1">
      <alignment/>
    </xf>
    <xf numFmtId="4" fontId="6" fillId="0" borderId="35" xfId="0" applyNumberFormat="1" applyFont="1" applyFill="1" applyBorder="1" applyAlignment="1">
      <alignment vertical="center"/>
    </xf>
    <xf numFmtId="9" fontId="6" fillId="0" borderId="37" xfId="58" applyFont="1" applyFill="1" applyBorder="1" applyAlignment="1">
      <alignment vertical="center"/>
    </xf>
    <xf numFmtId="9" fontId="6" fillId="0" borderId="35" xfId="58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64" xfId="0" applyFont="1" applyFill="1" applyBorder="1" applyAlignment="1">
      <alignment/>
    </xf>
    <xf numFmtId="4" fontId="5" fillId="0" borderId="53" xfId="0" applyNumberFormat="1" applyFont="1" applyFill="1" applyBorder="1" applyAlignment="1">
      <alignment vertical="center"/>
    </xf>
    <xf numFmtId="4" fontId="5" fillId="0" borderId="6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66" xfId="0" applyNumberFormat="1" applyFont="1" applyFill="1" applyBorder="1" applyAlignment="1">
      <alignment vertical="center"/>
    </xf>
    <xf numFmtId="4" fontId="5" fillId="0" borderId="67" xfId="0" applyNumberFormat="1" applyFont="1" applyFill="1" applyBorder="1" applyAlignment="1">
      <alignment vertical="center"/>
    </xf>
    <xf numFmtId="0" fontId="5" fillId="34" borderId="64" xfId="0" applyFont="1" applyFill="1" applyBorder="1" applyAlignment="1">
      <alignment/>
    </xf>
    <xf numFmtId="4" fontId="5" fillId="34" borderId="53" xfId="0" applyNumberFormat="1" applyFont="1" applyFill="1" applyBorder="1" applyAlignment="1">
      <alignment vertical="center"/>
    </xf>
    <xf numFmtId="4" fontId="5" fillId="34" borderId="65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4" fontId="6" fillId="0" borderId="53" xfId="0" applyNumberFormat="1" applyFont="1" applyFill="1" applyBorder="1" applyAlignment="1">
      <alignment vertical="center"/>
    </xf>
    <xf numFmtId="4" fontId="6" fillId="0" borderId="65" xfId="0" applyNumberFormat="1" applyFont="1" applyFill="1" applyBorder="1" applyAlignment="1">
      <alignment vertical="center"/>
    </xf>
    <xf numFmtId="4" fontId="5" fillId="0" borderId="43" xfId="0" applyNumberFormat="1" applyFont="1" applyFill="1" applyBorder="1" applyAlignment="1">
      <alignment vertical="center"/>
    </xf>
    <xf numFmtId="9" fontId="5" fillId="0" borderId="14" xfId="58" applyFont="1" applyFill="1" applyBorder="1" applyAlignment="1">
      <alignment vertical="center"/>
    </xf>
    <xf numFmtId="9" fontId="6" fillId="0" borderId="14" xfId="58" applyFont="1" applyFill="1" applyBorder="1" applyAlignment="1">
      <alignment vertical="center"/>
    </xf>
    <xf numFmtId="9" fontId="6" fillId="0" borderId="43" xfId="58" applyFont="1" applyFill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5" fillId="0" borderId="39" xfId="0" applyFont="1" applyFill="1" applyBorder="1" applyAlignment="1">
      <alignment/>
    </xf>
    <xf numFmtId="4" fontId="5" fillId="0" borderId="14" xfId="0" applyNumberFormat="1" applyFont="1" applyFill="1" applyBorder="1" applyAlignment="1">
      <alignment vertical="center"/>
    </xf>
    <xf numFmtId="4" fontId="5" fillId="0" borderId="44" xfId="0" applyNumberFormat="1" applyFont="1" applyFill="1" applyBorder="1" applyAlignment="1">
      <alignment vertical="center"/>
    </xf>
    <xf numFmtId="4" fontId="5" fillId="0" borderId="68" xfId="0" applyNumberFormat="1" applyFont="1" applyFill="1" applyBorder="1" applyAlignment="1">
      <alignment vertical="center"/>
    </xf>
    <xf numFmtId="0" fontId="5" fillId="34" borderId="39" xfId="0" applyFont="1" applyFill="1" applyBorder="1" applyAlignment="1">
      <alignment/>
    </xf>
    <xf numFmtId="4" fontId="5" fillId="34" borderId="42" xfId="0" applyNumberFormat="1" applyFont="1" applyFill="1" applyBorder="1" applyAlignment="1">
      <alignment vertical="center"/>
    </xf>
    <xf numFmtId="4" fontId="5" fillId="34" borderId="43" xfId="0" applyNumberFormat="1" applyFont="1" applyFill="1" applyBorder="1" applyAlignment="1">
      <alignment vertical="center"/>
    </xf>
    <xf numFmtId="9" fontId="5" fillId="0" borderId="47" xfId="58" applyFont="1" applyFill="1" applyBorder="1" applyAlignment="1">
      <alignment vertical="center"/>
    </xf>
    <xf numFmtId="3" fontId="5" fillId="0" borderId="0" xfId="0" applyNumberFormat="1" applyFont="1" applyFill="1" applyAlignment="1">
      <alignment/>
    </xf>
    <xf numFmtId="49" fontId="5" fillId="0" borderId="69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5" fillId="0" borderId="60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/>
    </xf>
    <xf numFmtId="2" fontId="5" fillId="0" borderId="61" xfId="0" applyNumberFormat="1" applyFont="1" applyFill="1" applyBorder="1" applyAlignment="1">
      <alignment/>
    </xf>
    <xf numFmtId="2" fontId="5" fillId="0" borderId="19" xfId="0" applyNumberFormat="1" applyFont="1" applyFill="1" applyBorder="1" applyAlignment="1">
      <alignment/>
    </xf>
    <xf numFmtId="169" fontId="5" fillId="0" borderId="60" xfId="0" applyNumberFormat="1" applyFont="1" applyFill="1" applyBorder="1" applyAlignment="1">
      <alignment/>
    </xf>
    <xf numFmtId="169" fontId="5" fillId="0" borderId="61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9" fontId="5" fillId="0" borderId="69" xfId="58" applyFont="1" applyFill="1" applyBorder="1" applyAlignment="1">
      <alignment vertical="center"/>
    </xf>
    <xf numFmtId="9" fontId="6" fillId="0" borderId="60" xfId="58" applyFont="1" applyFill="1" applyBorder="1" applyAlignment="1">
      <alignment vertical="center"/>
    </xf>
    <xf numFmtId="49" fontId="5" fillId="0" borderId="28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left" wrapText="1"/>
    </xf>
    <xf numFmtId="0" fontId="5" fillId="0" borderId="33" xfId="0" applyFont="1" applyFill="1" applyBorder="1" applyAlignment="1">
      <alignment horizontal="center"/>
    </xf>
    <xf numFmtId="49" fontId="5" fillId="0" borderId="64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52" xfId="0" applyFont="1" applyFill="1" applyBorder="1" applyAlignment="1">
      <alignment horizontal="center"/>
    </xf>
    <xf numFmtId="49" fontId="5" fillId="0" borderId="70" xfId="0" applyNumberFormat="1" applyFont="1" applyFill="1" applyBorder="1" applyAlignment="1">
      <alignment horizontal="center"/>
    </xf>
    <xf numFmtId="0" fontId="5" fillId="0" borderId="55" xfId="0" applyFont="1" applyFill="1" applyBorder="1" applyAlignment="1">
      <alignment horizontal="left"/>
    </xf>
    <xf numFmtId="0" fontId="5" fillId="0" borderId="59" xfId="0" applyFont="1" applyFill="1" applyBorder="1" applyAlignment="1">
      <alignment horizontal="center"/>
    </xf>
    <xf numFmtId="2" fontId="5" fillId="0" borderId="70" xfId="0" applyNumberFormat="1" applyFont="1" applyFill="1" applyBorder="1" applyAlignment="1">
      <alignment/>
    </xf>
    <xf numFmtId="2" fontId="5" fillId="0" borderId="71" xfId="0" applyNumberFormat="1" applyFont="1" applyFill="1" applyBorder="1" applyAlignment="1">
      <alignment/>
    </xf>
    <xf numFmtId="2" fontId="5" fillId="0" borderId="72" xfId="0" applyNumberFormat="1" applyFont="1" applyFill="1" applyBorder="1" applyAlignment="1">
      <alignment/>
    </xf>
    <xf numFmtId="9" fontId="5" fillId="0" borderId="71" xfId="58" applyFont="1" applyFill="1" applyBorder="1" applyAlignment="1">
      <alignment vertical="center"/>
    </xf>
    <xf numFmtId="9" fontId="5" fillId="0" borderId="72" xfId="58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71" fontId="5" fillId="0" borderId="0" xfId="0" applyNumberFormat="1" applyFont="1" applyFill="1" applyBorder="1" applyAlignment="1">
      <alignment wrapText="1"/>
    </xf>
    <xf numFmtId="0" fontId="50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1" fillId="0" borderId="0" xfId="0" applyFont="1" applyFill="1" applyAlignment="1">
      <alignment horizontal="left"/>
    </xf>
    <xf numFmtId="0" fontId="8" fillId="0" borderId="18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vertical="center" wrapText="1"/>
    </xf>
    <xf numFmtId="0" fontId="50" fillId="0" borderId="11" xfId="0" applyFont="1" applyFill="1" applyBorder="1" applyAlignment="1">
      <alignment vertical="center" wrapText="1"/>
    </xf>
    <xf numFmtId="3" fontId="51" fillId="0" borderId="13" xfId="0" applyNumberFormat="1" applyFont="1" applyFill="1" applyBorder="1" applyAlignment="1">
      <alignment vertical="center"/>
    </xf>
    <xf numFmtId="4" fontId="50" fillId="0" borderId="61" xfId="0" applyNumberFormat="1" applyFont="1" applyFill="1" applyBorder="1" applyAlignment="1">
      <alignment vertical="center"/>
    </xf>
    <xf numFmtId="4" fontId="50" fillId="0" borderId="11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4" fontId="50" fillId="0" borderId="12" xfId="0" applyNumberFormat="1" applyFont="1" applyFill="1" applyBorder="1" applyAlignment="1">
      <alignment vertical="center"/>
    </xf>
    <xf numFmtId="3" fontId="51" fillId="34" borderId="13" xfId="0" applyNumberFormat="1" applyFont="1" applyFill="1" applyBorder="1" applyAlignment="1">
      <alignment vertical="center"/>
    </xf>
    <xf numFmtId="4" fontId="50" fillId="0" borderId="50" xfId="0" applyNumberFormat="1" applyFont="1" applyFill="1" applyBorder="1" applyAlignment="1">
      <alignment vertical="center"/>
    </xf>
    <xf numFmtId="0" fontId="5" fillId="34" borderId="0" xfId="0" applyFont="1" applyFill="1" applyAlignment="1">
      <alignment horizontal="right"/>
    </xf>
    <xf numFmtId="2" fontId="5" fillId="34" borderId="0" xfId="0" applyNumberFormat="1" applyFont="1" applyFill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right" vertical="center"/>
    </xf>
    <xf numFmtId="0" fontId="6" fillId="0" borderId="74" xfId="0" applyFont="1" applyFill="1" applyBorder="1" applyAlignment="1">
      <alignment horizontal="center" vertical="center" wrapText="1"/>
    </xf>
    <xf numFmtId="0" fontId="6" fillId="0" borderId="7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0" fontId="5" fillId="0" borderId="76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69" fontId="5" fillId="0" borderId="69" xfId="0" applyNumberFormat="1" applyFont="1" applyFill="1" applyBorder="1" applyAlignment="1">
      <alignment horizontal="center"/>
    </xf>
    <xf numFmtId="169" fontId="5" fillId="0" borderId="60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34" borderId="37" xfId="0" applyNumberFormat="1" applyFont="1" applyFill="1" applyBorder="1" applyAlignment="1">
      <alignment horizontal="center"/>
    </xf>
    <xf numFmtId="1" fontId="5" fillId="34" borderId="77" xfId="0" applyNumberFormat="1" applyFont="1" applyFill="1" applyBorder="1" applyAlignment="1">
      <alignment horizontal="center"/>
    </xf>
    <xf numFmtId="1" fontId="5" fillId="34" borderId="62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/>
    </xf>
    <xf numFmtId="3" fontId="5" fillId="0" borderId="41" xfId="0" applyNumberFormat="1" applyFont="1" applyFill="1" applyBorder="1" applyAlignment="1">
      <alignment horizontal="center"/>
    </xf>
    <xf numFmtId="3" fontId="5" fillId="0" borderId="42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43" xfId="0" applyNumberFormat="1" applyFont="1" applyFill="1" applyBorder="1" applyAlignment="1">
      <alignment horizontal="center"/>
    </xf>
    <xf numFmtId="9" fontId="5" fillId="0" borderId="77" xfId="58" applyFont="1" applyFill="1" applyBorder="1" applyAlignment="1">
      <alignment horizontal="center" vertical="center"/>
    </xf>
    <xf numFmtId="9" fontId="5" fillId="0" borderId="63" xfId="58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0" xfId="53" applyFont="1" applyFill="1" applyAlignment="1">
      <alignment wrapText="1"/>
      <protection/>
    </xf>
    <xf numFmtId="0" fontId="6" fillId="33" borderId="0" xfId="0" applyFont="1" applyFill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6" fillId="0" borderId="7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9" fontId="5" fillId="0" borderId="21" xfId="0" applyNumberFormat="1" applyFont="1" applyFill="1" applyBorder="1" applyAlignment="1">
      <alignment/>
    </xf>
    <xf numFmtId="0" fontId="5" fillId="0" borderId="21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полнение тарифной сметы за 2014 г. Экибастуз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16&#1075;\&#1050;&#1086;&#1087;&#1080;&#1103;%207%20&#1074;&#1072;&#1088;%20%202016&#1075;%20&#1086;&#1090;%2027.11.15&#1075;%20%20&#1080;&#1079;&#1084;.&#1085;&#1086;&#1088;&#1084;&#1099;,%20&#1090;&#1072;&#1088;&#1080;&#1092;&#1099;-1\&#1048;&#1089;&#1087;&#1086;&#1083;&#1085;&#1077;&#1085;&#1080;&#1077;%20&#1073;&#1102;&#1076;&#1078;&#1077;&#1090;&#1072;%20&#1079;&#1072;%202016%20&#1075;&#1086;&#1076;\&#1060;&#1072;&#1082;&#1090;%20&#1076;&#1086;&#1093;&#1086;&#1076;&#1099;%20&#1080;%20&#1088;&#1072;&#1089;&#1093;&#1086;&#1076;&#1099;%20&#1087;&#1086;%20&#1090;&#1077;&#1087;&#1083;&#1091;%20&#1079;&#1072;%202016%20&#1075;&#1086;&#1076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bdisheva\&#1084;&#1086;&#1080;%20&#1076;&#1086;&#1082;&#1091;&#1084;&#1077;&#1085;&#1090;&#1099;\&#1048;&#1089;&#1087;&#1086;&#1083;&#1085;&#1077;&#1085;&#1080;&#1077;%20&#1058;&#1072;&#1088;&#1080;&#1092;&#1085;&#1086;&#1081;%20&#1089;&#1084;&#1077;&#1090;&#1099;%20&#1075;.%20&#1069;&#1082;&#1080;&#1073;&#1072;&#1089;&#1090;&#1091;&#1079;\2016%20&#1075;&#1086;&#1076;\&#1048;&#1089;&#1087;&#1086;&#1083;&#1085;&#1077;&#1085;&#1080;&#1077;%20&#1090;&#1072;&#1088;&#1080;&#1092;&#1085;&#1086;&#1081;%20&#1089;&#1084;&#1077;&#1090;&#1099;%20&#1079;&#1072;%202016%20&#1075;.%20&#1069;&#1082;&#1080;&#1073;&#1072;&#1089;&#1090;&#1091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ohlova\&#1052;&#1086;&#1080;%20&#1076;&#1086;&#1082;&#1091;&#1084;&#1077;&#1085;&#1090;&#1099;\&#1056;&#1040;&#1041;&#1054;&#1058;&#1040;%20&#1089;%2001%20&#1089;&#1077;&#1085;&#1090;&#1103;&#1073;&#1088;&#1103;\&#1043;&#1054;&#1044;&#1054;&#1042;&#1054;&#1049;%20&#1054;&#1058;&#1063;&#1045;&#1058;%20&#1087;&#1086;%20&#1080;&#1089;&#1087;.&#1090;&#1072;&#1088;.&#1089;&#1084;&#1077;&#1090;\2016&#1075;\&#1054;&#1057;%20&#1080;%20&#1053;&#1052;&#1040;%20&#1079;&#1072;%202016%20&#1075;%20%20(&#1079;&#1072;%202016%20&#1075;&#1086;&#1076;)%20&#1086;&#1090;%2005.04.17%20&#1086;&#1090;%20&#1057;&#1072;&#1083;&#1090;&#1072;&#1085;&#1072;&#10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yusenbaeva\&#1084;&#1086;&#1080;%20&#1076;&#1086;&#1082;&#1091;&#1084;&#1077;&#1085;&#1090;&#1099;\&#1050;&#1086;&#1085;&#1089;&#1086;&#1083;&#1080;&#1076;&#1080;&#1088;&#1086;&#1074;&#1072;&#1085;&#1085;&#1099;&#1081;%20&#1086;&#1090;&#1095;&#1077;&#1090;\2014&#1075;\&#1048;&#1089;&#1087;&#1086;&#1083;&#1085;&#1077;&#1085;&#1080;&#1077;%20&#1073;&#1102;&#1076;&#1078;&#1077;&#1090;&#1072;%202014&#1075;\&#1079;&#1072;%202014%20&#1075;&#1086;&#1076;%20&#1076;&#1086;&#1093;&#1086;&#1076;&#1099;%20&#1080;%20&#1088;&#1072;&#1089;&#1093;&#1086;&#1076;&#1099;%20&#1087;&#1086;%20&#1090;&#1077;&#1087;&#1083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продолж. "/>
      <sheetName val="г.Павлодар1"/>
      <sheetName val="г.Экибастуз"/>
      <sheetName val="г.Экибастуз продолж."/>
    </sheetNames>
    <sheetDataSet>
      <sheetData sheetId="3">
        <row r="10">
          <cell r="Y10">
            <v>2078.3013567977628</v>
          </cell>
        </row>
        <row r="34">
          <cell r="Y34">
            <v>7216.552003940546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 ТС с 1.01.16 (усред)"/>
      <sheetName val="Испол ТС с 1.07.16 ( ЧРМ-год)"/>
      <sheetName val="Испол ТС с 1.07.16 (Коррект.ТС)"/>
    </sheetNames>
    <sheetDataSet>
      <sheetData sheetId="2">
        <row r="10">
          <cell r="DD10">
            <v>1679935.57673</v>
          </cell>
          <cell r="DE10">
            <v>1562135.58646409</v>
          </cell>
        </row>
        <row r="11">
          <cell r="DD11">
            <v>1509700.64956</v>
          </cell>
          <cell r="DE11">
            <v>1409237.3494983197</v>
          </cell>
        </row>
        <row r="14">
          <cell r="DD14">
            <v>3186</v>
          </cell>
          <cell r="DE14">
            <v>4062.0217856011004</v>
          </cell>
        </row>
        <row r="16">
          <cell r="DD16">
            <v>3186</v>
          </cell>
          <cell r="DE16">
            <v>4062.0217856011004</v>
          </cell>
        </row>
        <row r="19">
          <cell r="DD19">
            <v>31085.000000000004</v>
          </cell>
          <cell r="DE19">
            <v>42841.91964104759</v>
          </cell>
        </row>
        <row r="20">
          <cell r="DD20">
            <v>3076.666666666667</v>
          </cell>
          <cell r="DE20">
            <v>4385.737971672116</v>
          </cell>
        </row>
        <row r="22">
          <cell r="DD22">
            <v>590.5</v>
          </cell>
          <cell r="DE22">
            <v>562.6977253325527</v>
          </cell>
        </row>
        <row r="25">
          <cell r="DD25">
            <v>1967.0000000000002</v>
          </cell>
          <cell r="DE25">
            <v>2768.6227</v>
          </cell>
        </row>
        <row r="26">
          <cell r="DD26">
            <v>52.99999999999999</v>
          </cell>
          <cell r="DE26">
            <v>57.75885</v>
          </cell>
        </row>
        <row r="27">
          <cell r="DD27">
            <v>43.00000000000001</v>
          </cell>
          <cell r="DE27">
            <v>52.20000000000001</v>
          </cell>
        </row>
        <row r="30">
          <cell r="DD30">
            <v>1377</v>
          </cell>
          <cell r="DE30">
            <v>2778.942763828</v>
          </cell>
        </row>
        <row r="31">
          <cell r="DD31">
            <v>6540.999999999999</v>
          </cell>
          <cell r="DE31">
            <v>8368.782869692</v>
          </cell>
        </row>
        <row r="32">
          <cell r="DD32">
            <v>530.0000000000001</v>
          </cell>
          <cell r="DE32">
            <v>489.5607920399999</v>
          </cell>
        </row>
        <row r="33">
          <cell r="DD33">
            <v>1404</v>
          </cell>
          <cell r="DE33">
            <v>1770.2504076129405</v>
          </cell>
        </row>
        <row r="34">
          <cell r="DD34">
            <v>16</v>
          </cell>
          <cell r="DE34">
            <v>15.29833</v>
          </cell>
        </row>
        <row r="35">
          <cell r="DD35">
            <v>891</v>
          </cell>
          <cell r="DE35">
            <v>1006.7032030514433</v>
          </cell>
        </row>
        <row r="36">
          <cell r="DD36">
            <v>96.99999999999999</v>
          </cell>
          <cell r="DE36">
            <v>96.74826958400001</v>
          </cell>
        </row>
        <row r="37">
          <cell r="DD37">
            <v>45</v>
          </cell>
          <cell r="DE37">
            <v>42.0291</v>
          </cell>
        </row>
        <row r="38">
          <cell r="DD38">
            <v>80</v>
          </cell>
          <cell r="DE38">
            <v>75.63392999999999</v>
          </cell>
        </row>
        <row r="39">
          <cell r="DD39">
            <v>180</v>
          </cell>
          <cell r="DE39">
            <v>176.47068</v>
          </cell>
        </row>
        <row r="40">
          <cell r="DD40">
            <v>265.99999999999994</v>
          </cell>
          <cell r="DE40">
            <v>514.0377600122578</v>
          </cell>
        </row>
        <row r="41">
          <cell r="DD41">
            <v>374.00000000000006</v>
          </cell>
          <cell r="DE41">
            <v>380.4854400000001</v>
          </cell>
        </row>
        <row r="42">
          <cell r="DD42">
            <v>5</v>
          </cell>
          <cell r="DE42">
            <v>5.60126</v>
          </cell>
        </row>
        <row r="45">
          <cell r="DD45">
            <v>92.00000000000001</v>
          </cell>
        </row>
        <row r="46">
          <cell r="DE46">
            <v>2958554.1236449</v>
          </cell>
        </row>
        <row r="48">
          <cell r="DD48">
            <v>925.039</v>
          </cell>
        </row>
        <row r="49">
          <cell r="DD49">
            <v>682.262</v>
          </cell>
          <cell r="DE49">
            <v>645.61851</v>
          </cell>
        </row>
        <row r="53">
          <cell r="DE53">
            <v>224.03556400000002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С"/>
      <sheetName val="НМА"/>
    </sheetNames>
    <sheetDataSet>
      <sheetData sheetId="0">
        <row r="8">
          <cell r="E8">
            <v>1672173.4600000002</v>
          </cell>
        </row>
        <row r="10">
          <cell r="E10">
            <v>603487.4400000001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.Павлодар продолж. 2014г."/>
      <sheetName val="г.Павлодар1"/>
      <sheetName val="г.Экибастуз"/>
      <sheetName val="г.Экибастуз продолж.2014г."/>
    </sheetNames>
    <sheetDataSet>
      <sheetData sheetId="3">
        <row r="29">
          <cell r="AB29">
            <v>594761.35020959</v>
          </cell>
        </row>
        <row r="104">
          <cell r="AG104">
            <v>27858.40363126</v>
          </cell>
          <cell r="AH104">
            <v>66.54398753999334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Y114"/>
  <sheetViews>
    <sheetView view="pageBreakPreview" zoomScale="75" zoomScaleSheetLayoutView="75" zoomScalePageLayoutView="0" workbookViewId="0" topLeftCell="A75">
      <selection activeCell="F92" sqref="F92"/>
    </sheetView>
  </sheetViews>
  <sheetFormatPr defaultColWidth="9.00390625" defaultRowHeight="12.75" outlineLevelRow="1"/>
  <cols>
    <col min="1" max="1" width="8.25390625" style="1" customWidth="1"/>
    <col min="2" max="2" width="58.875" style="1" customWidth="1"/>
    <col min="3" max="3" width="12.625" style="1" customWidth="1"/>
    <col min="4" max="4" width="12.375" style="1" customWidth="1"/>
    <col min="5" max="5" width="12.875" style="1" customWidth="1"/>
    <col min="6" max="6" width="11.625" style="1" customWidth="1"/>
    <col min="7" max="7" width="11.00390625" style="1" customWidth="1"/>
    <col min="8" max="9" width="10.375" style="1" customWidth="1"/>
    <col min="10" max="10" width="12.75390625" style="1" customWidth="1"/>
    <col min="11" max="11" width="11.875" style="1" customWidth="1"/>
    <col min="12" max="12" width="11.25390625" style="1" customWidth="1"/>
    <col min="13" max="13" width="9.875" style="1" customWidth="1"/>
    <col min="14" max="14" width="10.75390625" style="1" customWidth="1"/>
    <col min="15" max="15" width="10.625" style="1" customWidth="1"/>
    <col min="16" max="16" width="10.125" style="1" customWidth="1"/>
    <col min="17" max="17" width="11.625" style="1" customWidth="1"/>
    <col min="18" max="18" width="10.375" style="1" customWidth="1"/>
    <col min="19" max="19" width="11.125" style="1" customWidth="1"/>
    <col min="20" max="20" width="10.25390625" style="1" customWidth="1"/>
    <col min="21" max="21" width="9.875" style="1" customWidth="1"/>
    <col min="22" max="22" width="48.25390625" style="1" customWidth="1"/>
    <col min="23" max="16384" width="9.125" style="1" customWidth="1"/>
  </cols>
  <sheetData>
    <row r="1" spans="1:22" ht="15.75">
      <c r="A1" s="17"/>
      <c r="B1" s="17"/>
      <c r="C1" s="17"/>
      <c r="D1" s="14"/>
      <c r="E1" s="15"/>
      <c r="F1" s="15"/>
      <c r="G1" s="15"/>
      <c r="H1" s="15"/>
      <c r="I1" s="15"/>
      <c r="J1" s="17"/>
      <c r="K1" s="360"/>
      <c r="L1" s="360"/>
      <c r="M1" s="360"/>
      <c r="N1" s="360"/>
      <c r="O1" s="360"/>
      <c r="Q1" s="360" t="s">
        <v>118</v>
      </c>
      <c r="R1" s="360"/>
      <c r="S1" s="360"/>
      <c r="T1" s="360"/>
      <c r="U1" s="360"/>
      <c r="V1" s="360"/>
    </row>
    <row r="2" spans="1:22" ht="15.75">
      <c r="A2" s="17"/>
      <c r="B2" s="17"/>
      <c r="C2" s="17"/>
      <c r="D2" s="14"/>
      <c r="E2" s="15"/>
      <c r="F2" s="15"/>
      <c r="G2" s="15"/>
      <c r="H2" s="15"/>
      <c r="I2" s="15"/>
      <c r="J2" s="17"/>
      <c r="K2" s="360"/>
      <c r="L2" s="360"/>
      <c r="M2" s="360"/>
      <c r="N2" s="360"/>
      <c r="O2" s="360"/>
      <c r="Q2" s="360" t="s">
        <v>119</v>
      </c>
      <c r="R2" s="360"/>
      <c r="S2" s="360"/>
      <c r="T2" s="360"/>
      <c r="U2" s="360"/>
      <c r="V2" s="360"/>
    </row>
    <row r="3" spans="1:22" ht="15.75">
      <c r="A3" s="17"/>
      <c r="B3" s="17"/>
      <c r="C3" s="17"/>
      <c r="D3" s="14"/>
      <c r="E3" s="15"/>
      <c r="F3" s="15"/>
      <c r="G3" s="15"/>
      <c r="H3" s="15"/>
      <c r="I3" s="15"/>
      <c r="J3" s="17"/>
      <c r="K3" s="360"/>
      <c r="L3" s="360"/>
      <c r="M3" s="360"/>
      <c r="N3" s="360"/>
      <c r="O3" s="360"/>
      <c r="Q3" s="360" t="s">
        <v>109</v>
      </c>
      <c r="R3" s="360"/>
      <c r="S3" s="360"/>
      <c r="T3" s="360"/>
      <c r="U3" s="360"/>
      <c r="V3" s="360"/>
    </row>
    <row r="4" spans="1:22" ht="15.75">
      <c r="A4" s="15"/>
      <c r="B4" s="15"/>
      <c r="C4" s="15"/>
      <c r="D4" s="16"/>
      <c r="E4" s="16"/>
      <c r="F4" s="16"/>
      <c r="G4" s="16"/>
      <c r="H4" s="16"/>
      <c r="I4" s="16"/>
      <c r="J4" s="17"/>
      <c r="K4" s="360"/>
      <c r="L4" s="360"/>
      <c r="M4" s="360"/>
      <c r="N4" s="360"/>
      <c r="O4" s="360"/>
      <c r="Q4" s="360" t="s">
        <v>111</v>
      </c>
      <c r="R4" s="360"/>
      <c r="S4" s="360"/>
      <c r="T4" s="360"/>
      <c r="U4" s="360"/>
      <c r="V4" s="360"/>
    </row>
    <row r="5" spans="1:22" ht="15.75" outlineLevel="1">
      <c r="A5" s="18"/>
      <c r="B5" s="105"/>
      <c r="C5" s="106"/>
      <c r="D5" s="89"/>
      <c r="E5" s="89"/>
      <c r="F5" s="89"/>
      <c r="G5" s="89"/>
      <c r="H5" s="89"/>
      <c r="I5" s="89"/>
      <c r="J5" s="89"/>
      <c r="K5" s="361"/>
      <c r="L5" s="361"/>
      <c r="M5" s="361"/>
      <c r="N5" s="361"/>
      <c r="O5" s="361"/>
      <c r="P5" s="11"/>
      <c r="Q5" s="361" t="s">
        <v>110</v>
      </c>
      <c r="R5" s="361"/>
      <c r="S5" s="361"/>
      <c r="T5" s="361"/>
      <c r="U5" s="361"/>
      <c r="V5" s="361"/>
    </row>
    <row r="6" spans="1:22" ht="15.75" outlineLevel="1">
      <c r="A6" s="90"/>
      <c r="B6" s="363"/>
      <c r="C6" s="363"/>
      <c r="D6" s="363"/>
      <c r="E6" s="363"/>
      <c r="F6" s="363"/>
      <c r="G6" s="363"/>
      <c r="H6" s="19"/>
      <c r="I6" s="19"/>
      <c r="J6" s="89"/>
      <c r="K6" s="89"/>
      <c r="L6" s="361"/>
      <c r="M6" s="361"/>
      <c r="N6" s="361"/>
      <c r="O6" s="361"/>
      <c r="P6" s="11"/>
      <c r="Q6" s="361" t="s">
        <v>137</v>
      </c>
      <c r="R6" s="361"/>
      <c r="S6" s="361"/>
      <c r="T6" s="361"/>
      <c r="U6" s="361"/>
      <c r="V6" s="361"/>
    </row>
    <row r="7" spans="1:22" ht="15.75" customHeight="1" outlineLevel="1">
      <c r="A7" s="90"/>
      <c r="B7" s="90"/>
      <c r="C7" s="90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108"/>
      <c r="R7" s="108"/>
      <c r="S7" s="108"/>
      <c r="T7" s="108"/>
      <c r="U7" s="108"/>
      <c r="V7" s="108"/>
    </row>
    <row r="8" spans="1:22" ht="30.75" customHeight="1" outlineLevel="1">
      <c r="A8" s="18"/>
      <c r="B8" s="362" t="s">
        <v>138</v>
      </c>
      <c r="C8" s="362"/>
      <c r="D8" s="362"/>
      <c r="E8" s="362"/>
      <c r="F8" s="362"/>
      <c r="G8" s="362"/>
      <c r="H8" s="362"/>
      <c r="I8" s="362"/>
      <c r="J8" s="362"/>
      <c r="K8" s="362"/>
      <c r="L8" s="362"/>
      <c r="M8" s="362"/>
      <c r="N8" s="362"/>
      <c r="O8" s="362"/>
      <c r="P8" s="108"/>
      <c r="Q8" s="108"/>
      <c r="R8" s="108"/>
      <c r="S8" s="108"/>
      <c r="T8" s="108"/>
      <c r="U8" s="108"/>
      <c r="V8" s="108"/>
    </row>
    <row r="9" spans="1:22" ht="22.5" customHeight="1" outlineLevel="1">
      <c r="A9" s="18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8"/>
      <c r="Q9" s="108"/>
      <c r="R9" s="108"/>
      <c r="S9" s="108"/>
      <c r="T9" s="108"/>
      <c r="U9" s="108"/>
      <c r="V9" s="108"/>
    </row>
    <row r="10" spans="1:22" ht="15.75" outlineLevel="1">
      <c r="A10" s="18"/>
      <c r="B10" s="91" t="s">
        <v>201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ht="15.75" outlineLevel="1">
      <c r="A11" s="18"/>
      <c r="B11" s="91" t="s">
        <v>139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ht="15.75" outlineLevel="1">
      <c r="A12" s="18"/>
      <c r="B12" s="91" t="s">
        <v>140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ht="15.75" outlineLevel="1">
      <c r="A13" s="18"/>
      <c r="B13" s="91" t="s">
        <v>113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ht="15.75" outlineLevel="1">
      <c r="A14" s="110"/>
      <c r="B14" s="19" t="s">
        <v>114</v>
      </c>
      <c r="C14" s="92"/>
      <c r="D14" s="111"/>
      <c r="E14" s="111"/>
      <c r="F14" s="19"/>
      <c r="G14" s="19"/>
      <c r="H14" s="19"/>
      <c r="I14" s="19"/>
      <c r="J14" s="19"/>
      <c r="K14" s="111"/>
      <c r="L14" s="19"/>
      <c r="M14" s="19"/>
      <c r="N14" s="11"/>
      <c r="O14" s="11"/>
      <c r="P14" s="11"/>
      <c r="Q14" s="11"/>
      <c r="R14" s="11"/>
      <c r="S14" s="11"/>
      <c r="T14" s="11"/>
      <c r="U14" s="11"/>
      <c r="V14" s="112"/>
    </row>
    <row r="15" spans="1:22" ht="19.5" customHeight="1" outlineLevel="1" thickBot="1">
      <c r="A15" s="110"/>
      <c r="B15" s="19"/>
      <c r="C15" s="92"/>
      <c r="D15" s="113"/>
      <c r="E15" s="113"/>
      <c r="F15" s="113"/>
      <c r="G15" s="113"/>
      <c r="H15" s="113"/>
      <c r="I15" s="113"/>
      <c r="J15" s="19"/>
      <c r="K15" s="111"/>
      <c r="L15" s="19"/>
      <c r="M15" s="19"/>
      <c r="N15" s="368"/>
      <c r="O15" s="368"/>
      <c r="P15" s="11"/>
      <c r="Q15" s="11"/>
      <c r="R15" s="11"/>
      <c r="S15" s="11"/>
      <c r="T15" s="11"/>
      <c r="U15" s="11"/>
      <c r="V15" s="112"/>
    </row>
    <row r="16" spans="1:22" ht="40.5" customHeight="1" thickBot="1">
      <c r="A16" s="391" t="s">
        <v>0</v>
      </c>
      <c r="B16" s="372" t="s">
        <v>112</v>
      </c>
      <c r="C16" s="393" t="s">
        <v>89</v>
      </c>
      <c r="D16" s="369" t="s">
        <v>197</v>
      </c>
      <c r="E16" s="370"/>
      <c r="F16" s="370"/>
      <c r="G16" s="370"/>
      <c r="H16" s="370"/>
      <c r="I16" s="371"/>
      <c r="J16" s="391" t="s">
        <v>199</v>
      </c>
      <c r="K16" s="392"/>
      <c r="L16" s="392"/>
      <c r="M16" s="392"/>
      <c r="N16" s="392"/>
      <c r="O16" s="393"/>
      <c r="P16" s="369" t="s">
        <v>71</v>
      </c>
      <c r="Q16" s="370"/>
      <c r="R16" s="370"/>
      <c r="S16" s="370"/>
      <c r="T16" s="370"/>
      <c r="U16" s="371"/>
      <c r="V16" s="372" t="s">
        <v>200</v>
      </c>
    </row>
    <row r="17" spans="1:22" ht="30.75" customHeight="1" thickBot="1">
      <c r="A17" s="400"/>
      <c r="B17" s="373"/>
      <c r="C17" s="402"/>
      <c r="D17" s="372" t="s">
        <v>72</v>
      </c>
      <c r="E17" s="375" t="s">
        <v>73</v>
      </c>
      <c r="F17" s="376"/>
      <c r="G17" s="375" t="s">
        <v>74</v>
      </c>
      <c r="H17" s="381"/>
      <c r="I17" s="376"/>
      <c r="J17" s="372" t="s">
        <v>72</v>
      </c>
      <c r="K17" s="375" t="s">
        <v>73</v>
      </c>
      <c r="L17" s="376"/>
      <c r="M17" s="375" t="s">
        <v>74</v>
      </c>
      <c r="N17" s="381"/>
      <c r="O17" s="376"/>
      <c r="P17" s="394" t="s">
        <v>68</v>
      </c>
      <c r="Q17" s="390" t="s">
        <v>75</v>
      </c>
      <c r="R17" s="366"/>
      <c r="S17" s="366"/>
      <c r="T17" s="366"/>
      <c r="U17" s="367"/>
      <c r="V17" s="373"/>
    </row>
    <row r="18" spans="1:22" ht="76.5" customHeight="1" thickBot="1">
      <c r="A18" s="400"/>
      <c r="B18" s="373"/>
      <c r="C18" s="402"/>
      <c r="D18" s="373"/>
      <c r="E18" s="377"/>
      <c r="F18" s="378"/>
      <c r="G18" s="379"/>
      <c r="H18" s="382"/>
      <c r="I18" s="380"/>
      <c r="J18" s="373"/>
      <c r="K18" s="377"/>
      <c r="L18" s="378"/>
      <c r="M18" s="379"/>
      <c r="N18" s="382"/>
      <c r="O18" s="380"/>
      <c r="P18" s="395"/>
      <c r="Q18" s="383" t="s">
        <v>76</v>
      </c>
      <c r="R18" s="384"/>
      <c r="S18" s="387" t="s">
        <v>77</v>
      </c>
      <c r="T18" s="388"/>
      <c r="U18" s="389"/>
      <c r="V18" s="373"/>
    </row>
    <row r="19" spans="1:22" ht="29.25" customHeight="1" thickBot="1">
      <c r="A19" s="400"/>
      <c r="B19" s="373"/>
      <c r="C19" s="402"/>
      <c r="D19" s="373"/>
      <c r="E19" s="379"/>
      <c r="F19" s="380"/>
      <c r="G19" s="364" t="s">
        <v>78</v>
      </c>
      <c r="H19" s="366" t="s">
        <v>79</v>
      </c>
      <c r="I19" s="367"/>
      <c r="J19" s="373"/>
      <c r="K19" s="379"/>
      <c r="L19" s="380"/>
      <c r="M19" s="364" t="s">
        <v>78</v>
      </c>
      <c r="N19" s="366" t="s">
        <v>79</v>
      </c>
      <c r="O19" s="367"/>
      <c r="P19" s="395"/>
      <c r="Q19" s="385"/>
      <c r="R19" s="386"/>
      <c r="S19" s="397" t="s">
        <v>78</v>
      </c>
      <c r="T19" s="399" t="s">
        <v>79</v>
      </c>
      <c r="U19" s="389"/>
      <c r="V19" s="373"/>
    </row>
    <row r="20" spans="1:22" ht="36.75" customHeight="1" thickBot="1">
      <c r="A20" s="401"/>
      <c r="B20" s="374"/>
      <c r="C20" s="403"/>
      <c r="D20" s="374"/>
      <c r="E20" s="117" t="s">
        <v>80</v>
      </c>
      <c r="F20" s="116" t="s">
        <v>81</v>
      </c>
      <c r="G20" s="365"/>
      <c r="H20" s="117" t="s">
        <v>82</v>
      </c>
      <c r="I20" s="116" t="s">
        <v>83</v>
      </c>
      <c r="J20" s="374"/>
      <c r="K20" s="117" t="s">
        <v>80</v>
      </c>
      <c r="L20" s="116" t="s">
        <v>81</v>
      </c>
      <c r="M20" s="365"/>
      <c r="N20" s="117" t="s">
        <v>82</v>
      </c>
      <c r="O20" s="116" t="s">
        <v>83</v>
      </c>
      <c r="P20" s="396"/>
      <c r="Q20" s="117" t="s">
        <v>80</v>
      </c>
      <c r="R20" s="116" t="s">
        <v>81</v>
      </c>
      <c r="S20" s="398"/>
      <c r="T20" s="118" t="s">
        <v>82</v>
      </c>
      <c r="U20" s="116" t="s">
        <v>83</v>
      </c>
      <c r="V20" s="374"/>
    </row>
    <row r="21" spans="1:22" ht="16.5" thickBot="1">
      <c r="A21" s="119">
        <v>1</v>
      </c>
      <c r="B21" s="114">
        <v>2</v>
      </c>
      <c r="C21" s="115">
        <v>3</v>
      </c>
      <c r="D21" s="120">
        <v>4</v>
      </c>
      <c r="E21" s="121">
        <v>5</v>
      </c>
      <c r="F21" s="122">
        <v>6</v>
      </c>
      <c r="G21" s="120">
        <v>7</v>
      </c>
      <c r="H21" s="123">
        <v>8</v>
      </c>
      <c r="I21" s="124">
        <v>9</v>
      </c>
      <c r="J21" s="120">
        <v>10</v>
      </c>
      <c r="K21" s="125">
        <v>11</v>
      </c>
      <c r="L21" s="122">
        <v>12</v>
      </c>
      <c r="M21" s="120">
        <v>13</v>
      </c>
      <c r="N21" s="123">
        <v>14</v>
      </c>
      <c r="O21" s="122">
        <v>15</v>
      </c>
      <c r="P21" s="122">
        <v>22</v>
      </c>
      <c r="Q21" s="123">
        <v>23</v>
      </c>
      <c r="R21" s="127">
        <v>24</v>
      </c>
      <c r="S21" s="126">
        <v>25</v>
      </c>
      <c r="T21" s="123">
        <v>26</v>
      </c>
      <c r="U21" s="122">
        <v>27</v>
      </c>
      <c r="V21" s="126">
        <v>28</v>
      </c>
    </row>
    <row r="22" spans="1:22" ht="31.5">
      <c r="A22" s="128" t="s">
        <v>12</v>
      </c>
      <c r="B22" s="129" t="s">
        <v>129</v>
      </c>
      <c r="C22" s="130" t="s">
        <v>13</v>
      </c>
      <c r="D22" s="131">
        <f aca="true" t="shared" si="0" ref="D22:I22">D24</f>
        <v>6893072</v>
      </c>
      <c r="E22" s="132">
        <f t="shared" si="0"/>
        <v>5010341</v>
      </c>
      <c r="F22" s="133">
        <f t="shared" si="0"/>
        <v>952741</v>
      </c>
      <c r="G22" s="131">
        <f t="shared" si="0"/>
        <v>35781</v>
      </c>
      <c r="H22" s="132">
        <f t="shared" si="0"/>
        <v>858870</v>
      </c>
      <c r="I22" s="133">
        <f t="shared" si="0"/>
        <v>35339</v>
      </c>
      <c r="J22" s="131">
        <f aca="true" t="shared" si="1" ref="J22:O22">J24</f>
        <v>6821207.952667618</v>
      </c>
      <c r="K22" s="132">
        <f t="shared" si="1"/>
        <v>5099562.234038118</v>
      </c>
      <c r="L22" s="133">
        <f t="shared" si="1"/>
        <v>836086.1398295001</v>
      </c>
      <c r="M22" s="134">
        <f t="shared" si="1"/>
        <v>0</v>
      </c>
      <c r="N22" s="135">
        <f t="shared" si="1"/>
        <v>880227.74156</v>
      </c>
      <c r="O22" s="133">
        <f t="shared" si="1"/>
        <v>5331.83724</v>
      </c>
      <c r="P22" s="136">
        <f aca="true" t="shared" si="2" ref="P22:U22">J22/D22-1</f>
        <v>-0.01042554717727917</v>
      </c>
      <c r="Q22" s="137">
        <f t="shared" si="2"/>
        <v>0.0178074175067362</v>
      </c>
      <c r="R22" s="138">
        <f t="shared" si="2"/>
        <v>-0.12244131424017635</v>
      </c>
      <c r="S22" s="139">
        <f t="shared" si="2"/>
        <v>-1</v>
      </c>
      <c r="T22" s="137">
        <f t="shared" si="2"/>
        <v>0.024867257629210382</v>
      </c>
      <c r="U22" s="138">
        <f t="shared" si="2"/>
        <v>-0.8491231432694757</v>
      </c>
      <c r="V22" s="140"/>
    </row>
    <row r="23" spans="1:22" ht="20.25" customHeight="1">
      <c r="A23" s="141"/>
      <c r="B23" s="142" t="s">
        <v>14</v>
      </c>
      <c r="C23" s="143"/>
      <c r="D23" s="144"/>
      <c r="E23" s="145"/>
      <c r="F23" s="146"/>
      <c r="G23" s="144"/>
      <c r="H23" s="145"/>
      <c r="I23" s="147"/>
      <c r="J23" s="144"/>
      <c r="K23" s="145"/>
      <c r="L23" s="146"/>
      <c r="M23" s="148"/>
      <c r="N23" s="149"/>
      <c r="O23" s="146"/>
      <c r="P23" s="150"/>
      <c r="Q23" s="151"/>
      <c r="R23" s="152"/>
      <c r="S23" s="153"/>
      <c r="T23" s="151"/>
      <c r="U23" s="152"/>
      <c r="V23" s="154"/>
    </row>
    <row r="24" spans="1:22" ht="15.75">
      <c r="A24" s="155">
        <v>1</v>
      </c>
      <c r="B24" s="156" t="s">
        <v>15</v>
      </c>
      <c r="C24" s="157" t="s">
        <v>16</v>
      </c>
      <c r="D24" s="158">
        <f aca="true" t="shared" si="3" ref="D24:I24">D26+D27+D28+D29</f>
        <v>6893072</v>
      </c>
      <c r="E24" s="159">
        <f t="shared" si="3"/>
        <v>5010341</v>
      </c>
      <c r="F24" s="160">
        <f t="shared" si="3"/>
        <v>952741</v>
      </c>
      <c r="G24" s="158">
        <f t="shared" si="3"/>
        <v>35781</v>
      </c>
      <c r="H24" s="159">
        <f t="shared" si="3"/>
        <v>858870</v>
      </c>
      <c r="I24" s="160">
        <f t="shared" si="3"/>
        <v>35339</v>
      </c>
      <c r="J24" s="158">
        <f aca="true" t="shared" si="4" ref="J24:O24">J26+J27+J28+J29</f>
        <v>6821207.952667618</v>
      </c>
      <c r="K24" s="159">
        <f t="shared" si="4"/>
        <v>5099562.234038118</v>
      </c>
      <c r="L24" s="160">
        <f t="shared" si="4"/>
        <v>836086.1398295001</v>
      </c>
      <c r="M24" s="161">
        <f t="shared" si="4"/>
        <v>0</v>
      </c>
      <c r="N24" s="162">
        <f t="shared" si="4"/>
        <v>880227.74156</v>
      </c>
      <c r="O24" s="160">
        <f t="shared" si="4"/>
        <v>5331.83724</v>
      </c>
      <c r="P24" s="164">
        <f aca="true" t="shared" si="5" ref="P24:U24">J24/D24-1</f>
        <v>-0.01042554717727917</v>
      </c>
      <c r="Q24" s="165">
        <f t="shared" si="5"/>
        <v>0.0178074175067362</v>
      </c>
      <c r="R24" s="166">
        <f t="shared" si="5"/>
        <v>-0.12244131424017635</v>
      </c>
      <c r="S24" s="167">
        <f t="shared" si="5"/>
        <v>-1</v>
      </c>
      <c r="T24" s="165">
        <f t="shared" si="5"/>
        <v>0.024867257629210382</v>
      </c>
      <c r="U24" s="166">
        <f t="shared" si="5"/>
        <v>-0.8491231432694757</v>
      </c>
      <c r="V24" s="168"/>
    </row>
    <row r="25" spans="1:22" ht="21" customHeight="1">
      <c r="A25" s="141"/>
      <c r="B25" s="142" t="s">
        <v>14</v>
      </c>
      <c r="C25" s="143" t="s">
        <v>16</v>
      </c>
      <c r="D25" s="144"/>
      <c r="E25" s="145"/>
      <c r="F25" s="146"/>
      <c r="G25" s="144"/>
      <c r="H25" s="145"/>
      <c r="I25" s="147"/>
      <c r="J25" s="144"/>
      <c r="K25" s="145"/>
      <c r="L25" s="146"/>
      <c r="M25" s="148"/>
      <c r="N25" s="149"/>
      <c r="O25" s="146"/>
      <c r="P25" s="164"/>
      <c r="Q25" s="165"/>
      <c r="R25" s="166"/>
      <c r="S25" s="167"/>
      <c r="T25" s="165"/>
      <c r="U25" s="166"/>
      <c r="V25" s="154"/>
    </row>
    <row r="26" spans="1:22" ht="31.5">
      <c r="A26" s="141" t="s">
        <v>1</v>
      </c>
      <c r="B26" s="142" t="s">
        <v>17</v>
      </c>
      <c r="C26" s="143" t="s">
        <v>16</v>
      </c>
      <c r="D26" s="144">
        <f>E26+F26+G26+H26+I26</f>
        <v>2863292</v>
      </c>
      <c r="E26" s="145">
        <v>2406405</v>
      </c>
      <c r="F26" s="146">
        <v>456887</v>
      </c>
      <c r="G26" s="144">
        <v>0</v>
      </c>
      <c r="H26" s="145">
        <v>0</v>
      </c>
      <c r="I26" s="147">
        <v>0</v>
      </c>
      <c r="J26" s="144">
        <f>K26+L26+M26+N26+O26</f>
        <v>2819808.601381748</v>
      </c>
      <c r="K26" s="145">
        <v>2446315.101387038</v>
      </c>
      <c r="L26" s="146">
        <v>373493.49999471003</v>
      </c>
      <c r="M26" s="144">
        <v>0</v>
      </c>
      <c r="N26" s="145">
        <v>0</v>
      </c>
      <c r="O26" s="147">
        <v>0</v>
      </c>
      <c r="P26" s="167">
        <f>J26/D26-1</f>
        <v>-0.015186505120068805</v>
      </c>
      <c r="Q26" s="165">
        <f>K26/E26-1</f>
        <v>0.016584947831739916</v>
      </c>
      <c r="R26" s="166">
        <f>L26/F26-1</f>
        <v>-0.18252543846791436</v>
      </c>
      <c r="S26" s="167"/>
      <c r="T26" s="165"/>
      <c r="U26" s="166"/>
      <c r="V26" s="26" t="s">
        <v>141</v>
      </c>
    </row>
    <row r="27" spans="1:22" ht="60">
      <c r="A27" s="141" t="s">
        <v>2</v>
      </c>
      <c r="B27" s="142" t="s">
        <v>127</v>
      </c>
      <c r="C27" s="143" t="s">
        <v>16</v>
      </c>
      <c r="D27" s="144">
        <f>E27+F27+G27+H27+I27</f>
        <v>35339</v>
      </c>
      <c r="E27" s="145">
        <v>0</v>
      </c>
      <c r="F27" s="146">
        <v>0</v>
      </c>
      <c r="G27" s="144">
        <v>0</v>
      </c>
      <c r="H27" s="145">
        <v>0</v>
      </c>
      <c r="I27" s="147">
        <v>35339</v>
      </c>
      <c r="J27" s="144">
        <f>K27+L27+M27+N27+O27</f>
        <v>5331.83724</v>
      </c>
      <c r="K27" s="145">
        <v>0</v>
      </c>
      <c r="L27" s="146">
        <v>0</v>
      </c>
      <c r="M27" s="144">
        <v>0</v>
      </c>
      <c r="N27" s="145">
        <v>0</v>
      </c>
      <c r="O27" s="147">
        <v>5331.83724</v>
      </c>
      <c r="P27" s="167">
        <f>J27/D27-1</f>
        <v>-0.8491231432694757</v>
      </c>
      <c r="Q27" s="165"/>
      <c r="R27" s="166"/>
      <c r="S27" s="167"/>
      <c r="T27" s="165"/>
      <c r="U27" s="166">
        <f>O27/I27-1</f>
        <v>-0.8491231432694757</v>
      </c>
      <c r="V27" s="26" t="s">
        <v>121</v>
      </c>
    </row>
    <row r="28" spans="1:22" ht="31.5">
      <c r="A28" s="141" t="s">
        <v>58</v>
      </c>
      <c r="B28" s="142" t="s">
        <v>128</v>
      </c>
      <c r="C28" s="143" t="s">
        <v>16</v>
      </c>
      <c r="D28" s="144">
        <f>E28+F28+G28+H28+I28</f>
        <v>894651</v>
      </c>
      <c r="E28" s="145">
        <v>0</v>
      </c>
      <c r="F28" s="146">
        <v>0</v>
      </c>
      <c r="G28" s="144">
        <v>35781</v>
      </c>
      <c r="H28" s="145">
        <v>858870</v>
      </c>
      <c r="I28" s="147">
        <v>0</v>
      </c>
      <c r="J28" s="144">
        <f>K28+L28+M28+N28+O28</f>
        <v>880227.74156</v>
      </c>
      <c r="K28" s="145">
        <v>0</v>
      </c>
      <c r="L28" s="146">
        <v>0</v>
      </c>
      <c r="M28" s="144">
        <v>0</v>
      </c>
      <c r="N28" s="145">
        <v>880227.74156</v>
      </c>
      <c r="O28" s="147">
        <v>0</v>
      </c>
      <c r="P28" s="167">
        <f>J28/D28-1</f>
        <v>-0.016121659105058805</v>
      </c>
      <c r="Q28" s="165"/>
      <c r="R28" s="166"/>
      <c r="S28" s="167">
        <f>M28/G28-1</f>
        <v>-1</v>
      </c>
      <c r="T28" s="165">
        <f>N28/H28-1</f>
        <v>0.024867257629210382</v>
      </c>
      <c r="U28" s="166"/>
      <c r="V28" s="26" t="s">
        <v>141</v>
      </c>
    </row>
    <row r="29" spans="1:22" ht="55.5" customHeight="1">
      <c r="A29" s="141" t="s">
        <v>59</v>
      </c>
      <c r="B29" s="142" t="s">
        <v>18</v>
      </c>
      <c r="C29" s="143" t="s">
        <v>16</v>
      </c>
      <c r="D29" s="144">
        <f>E29+F29+G29+H29+I29</f>
        <v>3099790</v>
      </c>
      <c r="E29" s="145">
        <v>2603936</v>
      </c>
      <c r="F29" s="146">
        <v>495854</v>
      </c>
      <c r="G29" s="144">
        <v>0</v>
      </c>
      <c r="H29" s="145">
        <v>0</v>
      </c>
      <c r="I29" s="147">
        <v>0</v>
      </c>
      <c r="J29" s="144">
        <f>K29+L29+M29+N29+O29</f>
        <v>3115839.7724858704</v>
      </c>
      <c r="K29" s="145">
        <v>2653247.1326510804</v>
      </c>
      <c r="L29" s="146">
        <v>462592.63983479</v>
      </c>
      <c r="M29" s="144">
        <v>0</v>
      </c>
      <c r="N29" s="145">
        <v>0</v>
      </c>
      <c r="O29" s="147">
        <v>0</v>
      </c>
      <c r="P29" s="167">
        <f>J29/D29-1</f>
        <v>0.005177696710380486</v>
      </c>
      <c r="Q29" s="165">
        <f>K29/E29-1</f>
        <v>0.01893715231521842</v>
      </c>
      <c r="R29" s="166">
        <f>L29/F29-1</f>
        <v>-0.06707893889171002</v>
      </c>
      <c r="S29" s="167"/>
      <c r="T29" s="165"/>
      <c r="U29" s="166"/>
      <c r="V29" s="26"/>
    </row>
    <row r="30" spans="1:22" ht="20.25" customHeight="1">
      <c r="A30" s="155" t="s">
        <v>19</v>
      </c>
      <c r="B30" s="156" t="s">
        <v>5</v>
      </c>
      <c r="C30" s="157" t="s">
        <v>16</v>
      </c>
      <c r="D30" s="158">
        <f>SUM(E30:I30)</f>
        <v>128021</v>
      </c>
      <c r="E30" s="159">
        <f>E32+E36+E40+E41+E45</f>
        <v>96660</v>
      </c>
      <c r="F30" s="160">
        <f>F32+F36+F40+F41+F45</f>
        <v>18352</v>
      </c>
      <c r="G30" s="158">
        <f>G32+G36+G40+G41+G45</f>
        <v>288</v>
      </c>
      <c r="H30" s="159">
        <f>H32+H36+H40+H41+H45</f>
        <v>11121</v>
      </c>
      <c r="I30" s="163">
        <f>I32+I36+I40+I41+I45</f>
        <v>1600</v>
      </c>
      <c r="J30" s="158">
        <f aca="true" t="shared" si="6" ref="J30:O30">J32+J36+J40+J41+J45</f>
        <v>166950.2950444898</v>
      </c>
      <c r="K30" s="159">
        <f t="shared" si="6"/>
        <v>129030.1999533556</v>
      </c>
      <c r="L30" s="160">
        <f t="shared" si="6"/>
        <v>22431.700184203604</v>
      </c>
      <c r="M30" s="161">
        <f t="shared" si="6"/>
        <v>0</v>
      </c>
      <c r="N30" s="162">
        <f t="shared" si="6"/>
        <v>15173.223337273317</v>
      </c>
      <c r="O30" s="160">
        <f t="shared" si="6"/>
        <v>315.1715696573114</v>
      </c>
      <c r="P30" s="164">
        <f>J30/D30-1</f>
        <v>0.30408522855226705</v>
      </c>
      <c r="Q30" s="169">
        <f>K30/E30-1</f>
        <v>0.3348872331197559</v>
      </c>
      <c r="R30" s="170">
        <f>L30/F30-1</f>
        <v>0.2223027563319313</v>
      </c>
      <c r="S30" s="164">
        <f>M30/G30-1</f>
        <v>-1</v>
      </c>
      <c r="T30" s="169">
        <f>N30/H30-1</f>
        <v>0.36437580588735874</v>
      </c>
      <c r="U30" s="170">
        <f>O30/I30-1</f>
        <v>-0.8030177689641804</v>
      </c>
      <c r="V30" s="25"/>
    </row>
    <row r="31" spans="1:22" ht="22.5" customHeight="1">
      <c r="A31" s="141"/>
      <c r="B31" s="142" t="s">
        <v>14</v>
      </c>
      <c r="C31" s="143" t="s">
        <v>16</v>
      </c>
      <c r="D31" s="144"/>
      <c r="E31" s="145"/>
      <c r="F31" s="146"/>
      <c r="G31" s="144"/>
      <c r="H31" s="145"/>
      <c r="I31" s="147"/>
      <c r="J31" s="171"/>
      <c r="K31" s="145"/>
      <c r="L31" s="146"/>
      <c r="M31" s="148"/>
      <c r="N31" s="149"/>
      <c r="O31" s="146"/>
      <c r="P31" s="164"/>
      <c r="Q31" s="165"/>
      <c r="R31" s="166"/>
      <c r="S31" s="167"/>
      <c r="T31" s="165"/>
      <c r="U31" s="166"/>
      <c r="V31" s="27"/>
    </row>
    <row r="32" spans="1:22" ht="31.5" customHeight="1">
      <c r="A32" s="405">
        <v>2</v>
      </c>
      <c r="B32" s="156" t="s">
        <v>20</v>
      </c>
      <c r="C32" s="157" t="s">
        <v>16</v>
      </c>
      <c r="D32" s="158">
        <f>SUM(E32:I33)</f>
        <v>1957</v>
      </c>
      <c r="E32" s="159">
        <f aca="true" t="shared" si="7" ref="E32:O32">E34+E35</f>
        <v>1478</v>
      </c>
      <c r="F32" s="160">
        <f t="shared" si="7"/>
        <v>280</v>
      </c>
      <c r="G32" s="158">
        <f t="shared" si="7"/>
        <v>6</v>
      </c>
      <c r="H32" s="159">
        <f t="shared" si="7"/>
        <v>170</v>
      </c>
      <c r="I32" s="163">
        <f t="shared" si="7"/>
        <v>23</v>
      </c>
      <c r="J32" s="172">
        <f t="shared" si="7"/>
        <v>2670.7249141676884</v>
      </c>
      <c r="K32" s="159">
        <f t="shared" si="7"/>
        <v>2064.112373108615</v>
      </c>
      <c r="L32" s="160">
        <f t="shared" si="7"/>
        <v>358.84273539694937</v>
      </c>
      <c r="M32" s="161">
        <f t="shared" si="7"/>
        <v>0</v>
      </c>
      <c r="N32" s="162">
        <f t="shared" si="7"/>
        <v>242.72796633445614</v>
      </c>
      <c r="O32" s="160">
        <f t="shared" si="7"/>
        <v>5.041839327668202</v>
      </c>
      <c r="P32" s="164">
        <f aca="true" t="shared" si="8" ref="P32:U32">J32/D32-1</f>
        <v>0.3647035841429169</v>
      </c>
      <c r="Q32" s="165">
        <f t="shared" si="8"/>
        <v>0.39655776259040265</v>
      </c>
      <c r="R32" s="166">
        <f t="shared" si="8"/>
        <v>0.2815811978462477</v>
      </c>
      <c r="S32" s="167">
        <f t="shared" si="8"/>
        <v>-1</v>
      </c>
      <c r="T32" s="165">
        <f t="shared" si="8"/>
        <v>0.42781156667327136</v>
      </c>
      <c r="U32" s="166">
        <f t="shared" si="8"/>
        <v>-0.7807895944492086</v>
      </c>
      <c r="V32" s="25"/>
    </row>
    <row r="33" spans="1:22" ht="24" customHeight="1">
      <c r="A33" s="405"/>
      <c r="B33" s="142" t="s">
        <v>14</v>
      </c>
      <c r="C33" s="143" t="s">
        <v>16</v>
      </c>
      <c r="D33" s="144"/>
      <c r="E33" s="145"/>
      <c r="F33" s="146"/>
      <c r="G33" s="144"/>
      <c r="H33" s="145"/>
      <c r="I33" s="147"/>
      <c r="J33" s="171"/>
      <c r="K33" s="145"/>
      <c r="L33" s="146"/>
      <c r="M33" s="148"/>
      <c r="N33" s="149"/>
      <c r="O33" s="146"/>
      <c r="P33" s="164"/>
      <c r="Q33" s="165"/>
      <c r="R33" s="166"/>
      <c r="S33" s="167"/>
      <c r="T33" s="165"/>
      <c r="U33" s="166"/>
      <c r="V33" s="24"/>
    </row>
    <row r="34" spans="1:22" ht="120" customHeight="1">
      <c r="A34" s="141" t="s">
        <v>3</v>
      </c>
      <c r="B34" s="142" t="s">
        <v>21</v>
      </c>
      <c r="C34" s="143" t="s">
        <v>16</v>
      </c>
      <c r="D34" s="144">
        <f>E34+F34+G34+H34+I34</f>
        <v>1928</v>
      </c>
      <c r="E34" s="145">
        <v>1456</v>
      </c>
      <c r="F34" s="146">
        <v>276</v>
      </c>
      <c r="G34" s="144">
        <v>6</v>
      </c>
      <c r="H34" s="145">
        <v>167</v>
      </c>
      <c r="I34" s="146">
        <v>23</v>
      </c>
      <c r="J34" s="171">
        <v>2642.8662213176885</v>
      </c>
      <c r="K34" s="145">
        <v>2042.581337731189</v>
      </c>
      <c r="L34" s="146">
        <v>355.09959828318455</v>
      </c>
      <c r="M34" s="148">
        <v>0</v>
      </c>
      <c r="N34" s="149">
        <v>240.19603808368603</v>
      </c>
      <c r="O34" s="146">
        <v>4.989247219629126</v>
      </c>
      <c r="P34" s="153">
        <f aca="true" t="shared" si="9" ref="P34:U34">J34/D34-1</f>
        <v>0.3707812351232824</v>
      </c>
      <c r="Q34" s="151">
        <f t="shared" si="9"/>
        <v>0.4028717978923002</v>
      </c>
      <c r="R34" s="152">
        <f t="shared" si="9"/>
        <v>0.28659274740284246</v>
      </c>
      <c r="S34" s="153">
        <f t="shared" si="9"/>
        <v>-1</v>
      </c>
      <c r="T34" s="151">
        <f t="shared" si="9"/>
        <v>0.438299629243629</v>
      </c>
      <c r="U34" s="152">
        <f t="shared" si="9"/>
        <v>-0.7830762078422119</v>
      </c>
      <c r="V34" s="21" t="s">
        <v>132</v>
      </c>
    </row>
    <row r="35" spans="1:22" ht="24" customHeight="1">
      <c r="A35" s="141" t="s">
        <v>4</v>
      </c>
      <c r="B35" s="142" t="s">
        <v>60</v>
      </c>
      <c r="C35" s="143" t="s">
        <v>16</v>
      </c>
      <c r="D35" s="144">
        <f>SUM(E35:I35)</f>
        <v>29</v>
      </c>
      <c r="E35" s="145">
        <v>22</v>
      </c>
      <c r="F35" s="146">
        <v>4</v>
      </c>
      <c r="G35" s="144">
        <v>0</v>
      </c>
      <c r="H35" s="145">
        <v>3</v>
      </c>
      <c r="I35" s="147">
        <v>0</v>
      </c>
      <c r="J35" s="171">
        <v>27.858692849999997</v>
      </c>
      <c r="K35" s="145">
        <v>21.531035377425994</v>
      </c>
      <c r="L35" s="146">
        <v>3.743137113764819</v>
      </c>
      <c r="M35" s="148">
        <v>0</v>
      </c>
      <c r="N35" s="149">
        <v>2.5319282507701124</v>
      </c>
      <c r="O35" s="146">
        <v>0.05259210803907596</v>
      </c>
      <c r="P35" s="167">
        <f aca="true" t="shared" si="10" ref="P35:R36">J35/D35-1</f>
        <v>-0.03935541896551731</v>
      </c>
      <c r="Q35" s="165">
        <f t="shared" si="10"/>
        <v>-0.021316573753363932</v>
      </c>
      <c r="R35" s="166">
        <f t="shared" si="10"/>
        <v>-0.06421572155879529</v>
      </c>
      <c r="S35" s="167"/>
      <c r="T35" s="165">
        <f>N35/H35-1</f>
        <v>-0.1560239164099625</v>
      </c>
      <c r="U35" s="166"/>
      <c r="V35" s="26" t="s">
        <v>141</v>
      </c>
    </row>
    <row r="36" spans="1:22" ht="15.75">
      <c r="A36" s="405">
        <v>3</v>
      </c>
      <c r="B36" s="156" t="s">
        <v>22</v>
      </c>
      <c r="C36" s="143" t="s">
        <v>16</v>
      </c>
      <c r="D36" s="158">
        <f>SUM(D38:D39)</f>
        <v>93628</v>
      </c>
      <c r="E36" s="159">
        <f aca="true" t="shared" si="11" ref="E36:O36">E38+E39</f>
        <v>70690</v>
      </c>
      <c r="F36" s="160">
        <f t="shared" si="11"/>
        <v>13389</v>
      </c>
      <c r="G36" s="158">
        <f t="shared" si="11"/>
        <v>185</v>
      </c>
      <c r="H36" s="159">
        <f t="shared" si="11"/>
        <v>8178</v>
      </c>
      <c r="I36" s="163">
        <f t="shared" si="11"/>
        <v>1186</v>
      </c>
      <c r="J36" s="172">
        <f t="shared" si="11"/>
        <v>127316.00382344492</v>
      </c>
      <c r="K36" s="159">
        <f t="shared" si="11"/>
        <v>98398.20544326422</v>
      </c>
      <c r="L36" s="160">
        <f t="shared" si="11"/>
        <v>17106.37543741613</v>
      </c>
      <c r="M36" s="161">
        <f t="shared" si="11"/>
        <v>0</v>
      </c>
      <c r="N36" s="162">
        <f t="shared" si="11"/>
        <v>11571.073653433667</v>
      </c>
      <c r="O36" s="160">
        <f t="shared" si="11"/>
        <v>240.3492893309251</v>
      </c>
      <c r="P36" s="164">
        <f t="shared" si="10"/>
        <v>0.35980693620973336</v>
      </c>
      <c r="Q36" s="169">
        <f t="shared" si="10"/>
        <v>0.39196782350069626</v>
      </c>
      <c r="R36" s="170">
        <f t="shared" si="10"/>
        <v>0.27764399413071383</v>
      </c>
      <c r="S36" s="164">
        <f>M36/G36-1</f>
        <v>-1</v>
      </c>
      <c r="T36" s="169">
        <f>N36/H36-1</f>
        <v>0.4149026233105486</v>
      </c>
      <c r="U36" s="170">
        <f>O36/I36-1</f>
        <v>-0.7973446127057967</v>
      </c>
      <c r="V36" s="24"/>
    </row>
    <row r="37" spans="1:22" ht="14.25" customHeight="1">
      <c r="A37" s="405"/>
      <c r="B37" s="142" t="s">
        <v>14</v>
      </c>
      <c r="C37" s="143"/>
      <c r="D37" s="144"/>
      <c r="E37" s="145"/>
      <c r="F37" s="146"/>
      <c r="G37" s="144"/>
      <c r="H37" s="145"/>
      <c r="I37" s="147"/>
      <c r="J37" s="171"/>
      <c r="K37" s="145"/>
      <c r="L37" s="146"/>
      <c r="M37" s="148"/>
      <c r="N37" s="149"/>
      <c r="O37" s="146"/>
      <c r="P37" s="164"/>
      <c r="Q37" s="165"/>
      <c r="R37" s="166"/>
      <c r="S37" s="167"/>
      <c r="T37" s="165"/>
      <c r="U37" s="166"/>
      <c r="V37" s="24"/>
    </row>
    <row r="38" spans="1:22" ht="52.5" customHeight="1">
      <c r="A38" s="141" t="s">
        <v>23</v>
      </c>
      <c r="B38" s="142" t="s">
        <v>24</v>
      </c>
      <c r="C38" s="143" t="s">
        <v>16</v>
      </c>
      <c r="D38" s="174">
        <f>E38+F38+G38+H38+I38</f>
        <v>85194</v>
      </c>
      <c r="E38" s="145">
        <v>64322</v>
      </c>
      <c r="F38" s="146">
        <v>12183</v>
      </c>
      <c r="G38" s="144">
        <v>160</v>
      </c>
      <c r="H38" s="145">
        <v>7444</v>
      </c>
      <c r="I38" s="147">
        <v>1085</v>
      </c>
      <c r="J38" s="171">
        <v>115449.45183454851</v>
      </c>
      <c r="K38" s="145">
        <v>89226.9513554762</v>
      </c>
      <c r="L38" s="146">
        <v>15511.967135446645</v>
      </c>
      <c r="M38" s="148">
        <v>0</v>
      </c>
      <c r="N38" s="149">
        <v>10492.58593034873</v>
      </c>
      <c r="O38" s="146">
        <v>217.94741327695397</v>
      </c>
      <c r="P38" s="167">
        <f aca="true" t="shared" si="12" ref="P38:U41">J38/D38-1</f>
        <v>0.35513594659892145</v>
      </c>
      <c r="Q38" s="165">
        <f t="shared" si="12"/>
        <v>0.38719180615460025</v>
      </c>
      <c r="R38" s="166">
        <f t="shared" si="12"/>
        <v>0.2732469125376873</v>
      </c>
      <c r="S38" s="167">
        <f t="shared" si="12"/>
        <v>-1</v>
      </c>
      <c r="T38" s="165">
        <f t="shared" si="12"/>
        <v>0.4095359927926827</v>
      </c>
      <c r="U38" s="166">
        <f t="shared" si="12"/>
        <v>-0.7991268080396737</v>
      </c>
      <c r="V38" s="28" t="s">
        <v>124</v>
      </c>
    </row>
    <row r="39" spans="1:22" ht="15.75">
      <c r="A39" s="176" t="s">
        <v>25</v>
      </c>
      <c r="B39" s="175" t="s">
        <v>26</v>
      </c>
      <c r="C39" s="177" t="s">
        <v>16</v>
      </c>
      <c r="D39" s="178">
        <f>E39+F39+G39+H39+I39</f>
        <v>8434</v>
      </c>
      <c r="E39" s="179">
        <v>6368</v>
      </c>
      <c r="F39" s="180">
        <v>1206</v>
      </c>
      <c r="G39" s="181">
        <v>25</v>
      </c>
      <c r="H39" s="179">
        <v>734</v>
      </c>
      <c r="I39" s="182">
        <v>101</v>
      </c>
      <c r="J39" s="183">
        <v>11866.551988896412</v>
      </c>
      <c r="K39" s="179">
        <v>9171.254087788022</v>
      </c>
      <c r="L39" s="180">
        <v>1594.4083019694835</v>
      </c>
      <c r="M39" s="184">
        <v>0</v>
      </c>
      <c r="N39" s="185">
        <v>1078.487723084936</v>
      </c>
      <c r="O39" s="180">
        <v>22.401876053971137</v>
      </c>
      <c r="P39" s="167">
        <f t="shared" si="12"/>
        <v>0.4069898018610876</v>
      </c>
      <c r="Q39" s="165">
        <f t="shared" si="12"/>
        <v>0.4402094987104306</v>
      </c>
      <c r="R39" s="166">
        <f t="shared" si="12"/>
        <v>0.32206326863141266</v>
      </c>
      <c r="S39" s="167">
        <f t="shared" si="12"/>
        <v>-1</v>
      </c>
      <c r="T39" s="165">
        <f t="shared" si="12"/>
        <v>0.4693293230040001</v>
      </c>
      <c r="U39" s="166">
        <f t="shared" si="12"/>
        <v>-0.7781992469903848</v>
      </c>
      <c r="V39" s="29" t="s">
        <v>16</v>
      </c>
    </row>
    <row r="40" spans="1:22" ht="39" customHeight="1">
      <c r="A40" s="186">
        <v>4</v>
      </c>
      <c r="B40" s="187" t="s">
        <v>27</v>
      </c>
      <c r="C40" s="177" t="s">
        <v>16</v>
      </c>
      <c r="D40" s="188">
        <f>SUM(E40:I40)</f>
        <v>4250</v>
      </c>
      <c r="E40" s="189">
        <v>3208</v>
      </c>
      <c r="F40" s="190">
        <v>608</v>
      </c>
      <c r="G40" s="188">
        <v>12</v>
      </c>
      <c r="H40" s="189">
        <v>370</v>
      </c>
      <c r="I40" s="191">
        <v>52</v>
      </c>
      <c r="J40" s="192">
        <v>4312.7901695576875</v>
      </c>
      <c r="K40" s="189">
        <v>3333.208712129565</v>
      </c>
      <c r="L40" s="190">
        <v>579.4731660409346</v>
      </c>
      <c r="M40" s="193">
        <v>0</v>
      </c>
      <c r="N40" s="194">
        <v>391.96653370428083</v>
      </c>
      <c r="O40" s="190">
        <v>8.141757682907318</v>
      </c>
      <c r="P40" s="164">
        <f t="shared" si="12"/>
        <v>0.014774157542985389</v>
      </c>
      <c r="Q40" s="169">
        <f t="shared" si="12"/>
        <v>0.039030147172557594</v>
      </c>
      <c r="R40" s="170">
        <f t="shared" si="12"/>
        <v>-0.04691913480109433</v>
      </c>
      <c r="S40" s="164">
        <f t="shared" si="12"/>
        <v>-1</v>
      </c>
      <c r="T40" s="169">
        <f t="shared" si="12"/>
        <v>0.0593690100115698</v>
      </c>
      <c r="U40" s="170">
        <f t="shared" si="12"/>
        <v>-0.843427736867167</v>
      </c>
      <c r="V40" s="28"/>
    </row>
    <row r="41" spans="1:22" ht="15.75">
      <c r="A41" s="405">
        <v>5</v>
      </c>
      <c r="B41" s="156" t="s">
        <v>6</v>
      </c>
      <c r="C41" s="157" t="s">
        <v>16</v>
      </c>
      <c r="D41" s="158">
        <f>SUM(E41:I41)</f>
        <v>8206</v>
      </c>
      <c r="E41" s="159">
        <f aca="true" t="shared" si="13" ref="E41:O41">E43+E44</f>
        <v>6204</v>
      </c>
      <c r="F41" s="160">
        <f>F43+F44</f>
        <v>1230</v>
      </c>
      <c r="G41" s="158">
        <f t="shared" si="13"/>
        <v>25</v>
      </c>
      <c r="H41" s="159">
        <f t="shared" si="13"/>
        <v>648</v>
      </c>
      <c r="I41" s="163">
        <f t="shared" si="13"/>
        <v>99</v>
      </c>
      <c r="J41" s="172">
        <f t="shared" si="13"/>
        <v>8264.647399285466</v>
      </c>
      <c r="K41" s="159">
        <f t="shared" si="13"/>
        <v>6387.464641434787</v>
      </c>
      <c r="L41" s="160">
        <f t="shared" si="13"/>
        <v>1110.4508233395209</v>
      </c>
      <c r="M41" s="161">
        <f t="shared" si="13"/>
        <v>0</v>
      </c>
      <c r="N41" s="162">
        <f t="shared" si="13"/>
        <v>751.1297944083049</v>
      </c>
      <c r="O41" s="160">
        <f t="shared" si="13"/>
        <v>15.602140102854449</v>
      </c>
      <c r="P41" s="164">
        <f t="shared" si="12"/>
        <v>0.0071468924305955195</v>
      </c>
      <c r="Q41" s="169">
        <f t="shared" si="12"/>
        <v>0.029571992494324073</v>
      </c>
      <c r="R41" s="170">
        <f t="shared" si="12"/>
        <v>-0.09719445256949522</v>
      </c>
      <c r="S41" s="164">
        <f t="shared" si="12"/>
        <v>-1</v>
      </c>
      <c r="T41" s="169">
        <f t="shared" si="12"/>
        <v>0.15915091729676667</v>
      </c>
      <c r="U41" s="170">
        <f t="shared" si="12"/>
        <v>-0.8424026252236925</v>
      </c>
      <c r="V41" s="25"/>
    </row>
    <row r="42" spans="1:22" ht="14.25" customHeight="1">
      <c r="A42" s="405"/>
      <c r="B42" s="142" t="s">
        <v>14</v>
      </c>
      <c r="C42" s="143" t="s">
        <v>16</v>
      </c>
      <c r="D42" s="144"/>
      <c r="E42" s="145"/>
      <c r="F42" s="146"/>
      <c r="G42" s="144"/>
      <c r="H42" s="145"/>
      <c r="I42" s="147"/>
      <c r="J42" s="171"/>
      <c r="K42" s="145"/>
      <c r="L42" s="146"/>
      <c r="M42" s="148"/>
      <c r="N42" s="149"/>
      <c r="O42" s="146"/>
      <c r="P42" s="164"/>
      <c r="Q42" s="165"/>
      <c r="R42" s="166"/>
      <c r="S42" s="167"/>
      <c r="T42" s="165"/>
      <c r="U42" s="166"/>
      <c r="V42" s="24"/>
    </row>
    <row r="43" spans="1:22" ht="15.75">
      <c r="A43" s="22" t="s">
        <v>28</v>
      </c>
      <c r="B43" s="10" t="s">
        <v>29</v>
      </c>
      <c r="C43" s="195" t="s">
        <v>16</v>
      </c>
      <c r="D43" s="144">
        <f>SUM(E43:I43)</f>
        <v>8063</v>
      </c>
      <c r="E43" s="196">
        <v>6097</v>
      </c>
      <c r="F43" s="197">
        <v>1210</v>
      </c>
      <c r="G43" s="181">
        <v>24</v>
      </c>
      <c r="H43" s="196">
        <v>635</v>
      </c>
      <c r="I43" s="198">
        <v>97</v>
      </c>
      <c r="J43" s="199">
        <v>8116.570773055467</v>
      </c>
      <c r="K43" s="196">
        <v>6273.021257637331</v>
      </c>
      <c r="L43" s="197">
        <v>1090.555018525312</v>
      </c>
      <c r="M43" s="184">
        <v>0</v>
      </c>
      <c r="N43" s="200">
        <v>737.6718983307987</v>
      </c>
      <c r="O43" s="197">
        <v>15.322598562026196</v>
      </c>
      <c r="P43" s="167">
        <f aca="true" t="shared" si="14" ref="P43:U45">J43/D43-1</f>
        <v>0.006644024935565707</v>
      </c>
      <c r="Q43" s="165">
        <f t="shared" si="14"/>
        <v>0.028870142305614355</v>
      </c>
      <c r="R43" s="166">
        <f t="shared" si="14"/>
        <v>-0.0987148607228826</v>
      </c>
      <c r="S43" s="167">
        <f t="shared" si="14"/>
        <v>-1</v>
      </c>
      <c r="T43" s="165">
        <f t="shared" si="14"/>
        <v>0.16168802886739964</v>
      </c>
      <c r="U43" s="166">
        <f t="shared" si="14"/>
        <v>-0.842035066370864</v>
      </c>
      <c r="V43" s="30" t="s">
        <v>106</v>
      </c>
    </row>
    <row r="44" spans="1:22" ht="30" outlineLevel="1">
      <c r="A44" s="141" t="s">
        <v>67</v>
      </c>
      <c r="B44" s="142" t="s">
        <v>130</v>
      </c>
      <c r="C44" s="143" t="s">
        <v>16</v>
      </c>
      <c r="D44" s="144">
        <f>SUM(E44:I44)</f>
        <v>143</v>
      </c>
      <c r="E44" s="145">
        <v>107</v>
      </c>
      <c r="F44" s="146">
        <v>20</v>
      </c>
      <c r="G44" s="144">
        <v>1</v>
      </c>
      <c r="H44" s="145">
        <v>13</v>
      </c>
      <c r="I44" s="146">
        <v>2</v>
      </c>
      <c r="J44" s="171">
        <v>148.07662623</v>
      </c>
      <c r="K44" s="145">
        <v>114.4433837974568</v>
      </c>
      <c r="L44" s="146">
        <v>19.89580481420879</v>
      </c>
      <c r="M44" s="148">
        <v>0</v>
      </c>
      <c r="N44" s="149">
        <v>13.45789607750615</v>
      </c>
      <c r="O44" s="147">
        <v>0.2795415408282528</v>
      </c>
      <c r="P44" s="167">
        <f t="shared" si="14"/>
        <v>0.0355008827272727</v>
      </c>
      <c r="Q44" s="165">
        <f t="shared" si="14"/>
        <v>0.06956433455567113</v>
      </c>
      <c r="R44" s="166">
        <f t="shared" si="14"/>
        <v>-0.005209759289560467</v>
      </c>
      <c r="S44" s="167">
        <f t="shared" si="14"/>
        <v>-1</v>
      </c>
      <c r="T44" s="165">
        <f t="shared" si="14"/>
        <v>0.03522277519278072</v>
      </c>
      <c r="U44" s="166">
        <f t="shared" si="14"/>
        <v>-0.8602292295858736</v>
      </c>
      <c r="V44" s="31" t="s">
        <v>94</v>
      </c>
    </row>
    <row r="45" spans="1:22" ht="24" customHeight="1">
      <c r="A45" s="405">
        <v>6</v>
      </c>
      <c r="B45" s="201" t="s">
        <v>30</v>
      </c>
      <c r="C45" s="202" t="s">
        <v>16</v>
      </c>
      <c r="D45" s="188">
        <f>SUM(E45:I45)</f>
        <v>19980</v>
      </c>
      <c r="E45" s="203">
        <f aca="true" t="shared" si="15" ref="E45:O45">E47+E49+E50+E51+E52+E53+E58+E59+E60+E61+E62+E63+E48</f>
        <v>15080</v>
      </c>
      <c r="F45" s="204">
        <f t="shared" si="15"/>
        <v>2845</v>
      </c>
      <c r="G45" s="205">
        <f t="shared" si="15"/>
        <v>60</v>
      </c>
      <c r="H45" s="203">
        <f t="shared" si="15"/>
        <v>1755</v>
      </c>
      <c r="I45" s="206">
        <f t="shared" si="15"/>
        <v>240</v>
      </c>
      <c r="J45" s="192">
        <f t="shared" si="15"/>
        <v>24386.12873803406</v>
      </c>
      <c r="K45" s="189">
        <f t="shared" si="15"/>
        <v>18847.208783418424</v>
      </c>
      <c r="L45" s="194">
        <f t="shared" si="15"/>
        <v>3276.55802201007</v>
      </c>
      <c r="M45" s="189">
        <f t="shared" si="15"/>
        <v>0</v>
      </c>
      <c r="N45" s="207">
        <f t="shared" si="15"/>
        <v>2216.3253893926085</v>
      </c>
      <c r="O45" s="163">
        <f t="shared" si="15"/>
        <v>46.03654321295632</v>
      </c>
      <c r="P45" s="164">
        <f t="shared" si="14"/>
        <v>0.22052696386556847</v>
      </c>
      <c r="Q45" s="169">
        <f t="shared" si="14"/>
        <v>0.24981490606222967</v>
      </c>
      <c r="R45" s="170">
        <f t="shared" si="14"/>
        <v>0.1516899901617117</v>
      </c>
      <c r="S45" s="164">
        <f t="shared" si="14"/>
        <v>-1</v>
      </c>
      <c r="T45" s="169">
        <f t="shared" si="14"/>
        <v>0.26286346973937813</v>
      </c>
      <c r="U45" s="170">
        <f t="shared" si="14"/>
        <v>-0.8081810699460154</v>
      </c>
      <c r="V45" s="32"/>
    </row>
    <row r="46" spans="1:22" ht="15.75">
      <c r="A46" s="405"/>
      <c r="B46" s="142" t="s">
        <v>14</v>
      </c>
      <c r="C46" s="143" t="s">
        <v>16</v>
      </c>
      <c r="D46" s="144"/>
      <c r="E46" s="145"/>
      <c r="F46" s="146"/>
      <c r="G46" s="144"/>
      <c r="H46" s="145"/>
      <c r="I46" s="147"/>
      <c r="J46" s="171"/>
      <c r="K46" s="145"/>
      <c r="L46" s="146"/>
      <c r="M46" s="148"/>
      <c r="N46" s="149"/>
      <c r="O46" s="147"/>
      <c r="P46" s="164"/>
      <c r="Q46" s="165"/>
      <c r="R46" s="166"/>
      <c r="S46" s="167"/>
      <c r="T46" s="165"/>
      <c r="U46" s="166"/>
      <c r="V46" s="24"/>
    </row>
    <row r="47" spans="1:22" ht="64.5" customHeight="1">
      <c r="A47" s="141" t="s">
        <v>31</v>
      </c>
      <c r="B47" s="142" t="s">
        <v>8</v>
      </c>
      <c r="C47" s="143" t="s">
        <v>16</v>
      </c>
      <c r="D47" s="144">
        <f aca="true" t="shared" si="16" ref="D47:D58">SUM(E47:I47)</f>
        <v>307</v>
      </c>
      <c r="E47" s="145">
        <v>231</v>
      </c>
      <c r="F47" s="146">
        <v>44</v>
      </c>
      <c r="G47" s="144">
        <v>1</v>
      </c>
      <c r="H47" s="145">
        <v>27</v>
      </c>
      <c r="I47" s="146">
        <v>4</v>
      </c>
      <c r="J47" s="171">
        <v>697.1934375899999</v>
      </c>
      <c r="K47" s="145">
        <v>538.8370750374073</v>
      </c>
      <c r="L47" s="146">
        <v>93.6759899600388</v>
      </c>
      <c r="M47" s="148">
        <v>0</v>
      </c>
      <c r="N47" s="149">
        <v>63.36419911696073</v>
      </c>
      <c r="O47" s="147">
        <v>1.316173475593204</v>
      </c>
      <c r="P47" s="167">
        <f aca="true" t="shared" si="17" ref="P47:U49">J47/D47-1</f>
        <v>1.2709883960586317</v>
      </c>
      <c r="Q47" s="165">
        <f t="shared" si="17"/>
        <v>1.3326280304649667</v>
      </c>
      <c r="R47" s="166">
        <f t="shared" si="17"/>
        <v>1.1289997718190636</v>
      </c>
      <c r="S47" s="167">
        <f t="shared" si="17"/>
        <v>-1</v>
      </c>
      <c r="T47" s="165">
        <f t="shared" si="17"/>
        <v>1.3468221895170638</v>
      </c>
      <c r="U47" s="166">
        <f t="shared" si="17"/>
        <v>-0.670956631101699</v>
      </c>
      <c r="V47" s="20" t="s">
        <v>135</v>
      </c>
    </row>
    <row r="48" spans="1:22" ht="25.5" customHeight="1">
      <c r="A48" s="141" t="s">
        <v>32</v>
      </c>
      <c r="B48" s="142" t="s">
        <v>33</v>
      </c>
      <c r="C48" s="143" t="s">
        <v>16</v>
      </c>
      <c r="D48" s="144">
        <f t="shared" si="16"/>
        <v>1845</v>
      </c>
      <c r="E48" s="145">
        <v>1392</v>
      </c>
      <c r="F48" s="146">
        <v>264</v>
      </c>
      <c r="G48" s="144">
        <v>6</v>
      </c>
      <c r="H48" s="145">
        <v>161</v>
      </c>
      <c r="I48" s="147">
        <v>22</v>
      </c>
      <c r="J48" s="171">
        <v>1926.4469423085625</v>
      </c>
      <c r="K48" s="145">
        <v>1488.8852643199227</v>
      </c>
      <c r="L48" s="146">
        <v>258.8403944966116</v>
      </c>
      <c r="M48" s="148">
        <v>0</v>
      </c>
      <c r="N48" s="149">
        <v>175.08450461417647</v>
      </c>
      <c r="O48" s="147">
        <v>3.636778877851746</v>
      </c>
      <c r="P48" s="167">
        <f t="shared" si="17"/>
        <v>0.044144684178082594</v>
      </c>
      <c r="Q48" s="165">
        <f t="shared" si="17"/>
        <v>0.06960148298845015</v>
      </c>
      <c r="R48" s="166">
        <f t="shared" si="17"/>
        <v>-0.019543960240107516</v>
      </c>
      <c r="S48" s="167">
        <f t="shared" si="17"/>
        <v>-1</v>
      </c>
      <c r="T48" s="165">
        <f t="shared" si="17"/>
        <v>0.08748139511910846</v>
      </c>
      <c r="U48" s="166">
        <f t="shared" si="17"/>
        <v>-0.834691869188557</v>
      </c>
      <c r="V48" s="20"/>
    </row>
    <row r="49" spans="1:23" ht="15.75">
      <c r="A49" s="141" t="s">
        <v>34</v>
      </c>
      <c r="B49" s="142" t="s">
        <v>35</v>
      </c>
      <c r="C49" s="143" t="s">
        <v>16</v>
      </c>
      <c r="D49" s="144">
        <f t="shared" si="16"/>
        <v>1108</v>
      </c>
      <c r="E49" s="145">
        <v>838</v>
      </c>
      <c r="F49" s="146">
        <v>158</v>
      </c>
      <c r="G49" s="144">
        <v>3</v>
      </c>
      <c r="H49" s="145">
        <v>96</v>
      </c>
      <c r="I49" s="147">
        <v>13</v>
      </c>
      <c r="J49" s="171">
        <v>1575.0719989762408</v>
      </c>
      <c r="K49" s="145">
        <v>1217.3195316287254</v>
      </c>
      <c r="L49" s="146">
        <v>211.6291129653526</v>
      </c>
      <c r="M49" s="148">
        <v>0</v>
      </c>
      <c r="N49" s="149">
        <v>143.14990702102875</v>
      </c>
      <c r="O49" s="147">
        <v>2.9734473611342396</v>
      </c>
      <c r="P49" s="167">
        <f t="shared" si="17"/>
        <v>0.42154512542982014</v>
      </c>
      <c r="Q49" s="165">
        <f t="shared" si="17"/>
        <v>0.4526486057622021</v>
      </c>
      <c r="R49" s="166">
        <f t="shared" si="17"/>
        <v>0.33942476560349744</v>
      </c>
      <c r="S49" s="167">
        <f t="shared" si="17"/>
        <v>-1</v>
      </c>
      <c r="T49" s="165">
        <f t="shared" si="17"/>
        <v>0.49114486480238284</v>
      </c>
      <c r="U49" s="166">
        <f t="shared" si="17"/>
        <v>-0.7712732799127509</v>
      </c>
      <c r="V49" s="20" t="s">
        <v>134</v>
      </c>
      <c r="W49" s="208"/>
    </row>
    <row r="50" spans="1:22" ht="35.25" customHeight="1" hidden="1">
      <c r="A50" s="141"/>
      <c r="B50" s="142"/>
      <c r="C50" s="143"/>
      <c r="D50" s="144"/>
      <c r="E50" s="145"/>
      <c r="F50" s="146"/>
      <c r="G50" s="144"/>
      <c r="H50" s="145"/>
      <c r="I50" s="147"/>
      <c r="J50" s="171"/>
      <c r="K50" s="145"/>
      <c r="L50" s="146"/>
      <c r="M50" s="148"/>
      <c r="N50" s="149"/>
      <c r="O50" s="147"/>
      <c r="P50" s="167"/>
      <c r="Q50" s="165"/>
      <c r="R50" s="166"/>
      <c r="S50" s="167"/>
      <c r="T50" s="165"/>
      <c r="U50" s="166"/>
      <c r="V50" s="24"/>
    </row>
    <row r="51" spans="1:22" ht="15.75">
      <c r="A51" s="209" t="s">
        <v>36</v>
      </c>
      <c r="B51" s="142" t="s">
        <v>9</v>
      </c>
      <c r="C51" s="143" t="s">
        <v>16</v>
      </c>
      <c r="D51" s="144">
        <f t="shared" si="16"/>
        <v>7526</v>
      </c>
      <c r="E51" s="145">
        <v>5681</v>
      </c>
      <c r="F51" s="146">
        <v>1063</v>
      </c>
      <c r="G51" s="144">
        <v>24</v>
      </c>
      <c r="H51" s="145">
        <v>670</v>
      </c>
      <c r="I51" s="147">
        <v>88</v>
      </c>
      <c r="J51" s="171">
        <v>7112.158022312552</v>
      </c>
      <c r="K51" s="145">
        <v>5496.74483339069</v>
      </c>
      <c r="L51" s="146">
        <v>955.6005658850684</v>
      </c>
      <c r="M51" s="148">
        <v>0</v>
      </c>
      <c r="N51" s="149">
        <v>646.386171727165</v>
      </c>
      <c r="O51" s="147">
        <v>13.426451309629288</v>
      </c>
      <c r="P51" s="167">
        <f aca="true" t="shared" si="18" ref="P51:U53">J51/D51-1</f>
        <v>-0.05498830423697154</v>
      </c>
      <c r="Q51" s="165">
        <f t="shared" si="18"/>
        <v>-0.03243357975872385</v>
      </c>
      <c r="R51" s="166">
        <f t="shared" si="18"/>
        <v>-0.10103427480238159</v>
      </c>
      <c r="S51" s="167">
        <f t="shared" si="18"/>
        <v>-1</v>
      </c>
      <c r="T51" s="165">
        <f t="shared" si="18"/>
        <v>-0.03524451981020149</v>
      </c>
      <c r="U51" s="166">
        <f t="shared" si="18"/>
        <v>-0.8474266896633036</v>
      </c>
      <c r="V51" s="26" t="s">
        <v>141</v>
      </c>
    </row>
    <row r="52" spans="1:22" ht="54" customHeight="1">
      <c r="A52" s="141" t="s">
        <v>37</v>
      </c>
      <c r="B52" s="142" t="s">
        <v>10</v>
      </c>
      <c r="C52" s="143" t="s">
        <v>16</v>
      </c>
      <c r="D52" s="144">
        <f t="shared" si="16"/>
        <v>3432</v>
      </c>
      <c r="E52" s="145">
        <v>2590</v>
      </c>
      <c r="F52" s="146">
        <v>492</v>
      </c>
      <c r="G52" s="144">
        <v>10</v>
      </c>
      <c r="H52" s="145">
        <v>299</v>
      </c>
      <c r="I52" s="147">
        <v>41</v>
      </c>
      <c r="J52" s="171">
        <v>3648.4182263046873</v>
      </c>
      <c r="K52" s="145">
        <v>2819.7382528021953</v>
      </c>
      <c r="L52" s="146">
        <v>490.20712288793146</v>
      </c>
      <c r="M52" s="148">
        <v>0</v>
      </c>
      <c r="N52" s="149">
        <v>331.58530543924724</v>
      </c>
      <c r="O52" s="147">
        <v>6.887545175313206</v>
      </c>
      <c r="P52" s="167">
        <f t="shared" si="18"/>
        <v>0.06305892374845201</v>
      </c>
      <c r="Q52" s="165">
        <f t="shared" si="18"/>
        <v>0.08870202810895567</v>
      </c>
      <c r="R52" s="166">
        <f t="shared" si="18"/>
        <v>-0.0036440591708709613</v>
      </c>
      <c r="S52" s="167">
        <f t="shared" si="18"/>
        <v>-1</v>
      </c>
      <c r="T52" s="165">
        <f t="shared" si="18"/>
        <v>0.10898095464631186</v>
      </c>
      <c r="U52" s="166">
        <f t="shared" si="18"/>
        <v>-0.8320110932850437</v>
      </c>
      <c r="V52" s="20" t="s">
        <v>134</v>
      </c>
    </row>
    <row r="53" spans="1:22" ht="18.75" customHeight="1">
      <c r="A53" s="404" t="s">
        <v>38</v>
      </c>
      <c r="B53" s="142" t="s">
        <v>39</v>
      </c>
      <c r="C53" s="143" t="s">
        <v>16</v>
      </c>
      <c r="D53" s="144">
        <f>SUM(E53:I53)</f>
        <v>381</v>
      </c>
      <c r="E53" s="145">
        <f aca="true" t="shared" si="19" ref="E53:J53">E55+E56+E57</f>
        <v>288</v>
      </c>
      <c r="F53" s="149">
        <f t="shared" si="19"/>
        <v>53</v>
      </c>
      <c r="G53" s="145">
        <f t="shared" si="19"/>
        <v>1</v>
      </c>
      <c r="H53" s="145">
        <f t="shared" si="19"/>
        <v>33</v>
      </c>
      <c r="I53" s="149">
        <f t="shared" si="19"/>
        <v>6</v>
      </c>
      <c r="J53" s="171">
        <f t="shared" si="19"/>
        <v>395.3377394386049</v>
      </c>
      <c r="K53" s="145">
        <f>J53*K71/100</f>
        <v>305.5430812822297</v>
      </c>
      <c r="L53" s="146">
        <f>J53*L71/100</f>
        <v>53.118190897622384</v>
      </c>
      <c r="M53" s="148">
        <f>J53*M71/100</f>
        <v>0</v>
      </c>
      <c r="N53" s="149">
        <f>J53*N71/100</f>
        <v>35.93014203752196</v>
      </c>
      <c r="O53" s="147">
        <f>J53*O71/100</f>
        <v>0.7463252212308724</v>
      </c>
      <c r="P53" s="167">
        <f t="shared" si="18"/>
        <v>0.03763186204358249</v>
      </c>
      <c r="Q53" s="165">
        <f t="shared" si="18"/>
        <v>0.060913476674408606</v>
      </c>
      <c r="R53" s="166">
        <f t="shared" si="18"/>
        <v>0.0022300169362714506</v>
      </c>
      <c r="S53" s="167">
        <f t="shared" si="18"/>
        <v>-1</v>
      </c>
      <c r="T53" s="165">
        <f t="shared" si="18"/>
        <v>0.08879218295521096</v>
      </c>
      <c r="U53" s="166">
        <f t="shared" si="18"/>
        <v>-0.875612463128188</v>
      </c>
      <c r="V53" s="24"/>
    </row>
    <row r="54" spans="1:22" ht="19.5" customHeight="1">
      <c r="A54" s="404"/>
      <c r="B54" s="142" t="s">
        <v>14</v>
      </c>
      <c r="C54" s="143" t="s">
        <v>16</v>
      </c>
      <c r="D54" s="144"/>
      <c r="E54" s="145"/>
      <c r="F54" s="146"/>
      <c r="G54" s="144"/>
      <c r="H54" s="145"/>
      <c r="I54" s="147"/>
      <c r="J54" s="171"/>
      <c r="K54" s="145"/>
      <c r="L54" s="146"/>
      <c r="M54" s="148"/>
      <c r="N54" s="149"/>
      <c r="O54" s="147"/>
      <c r="P54" s="167"/>
      <c r="Q54" s="165"/>
      <c r="R54" s="166"/>
      <c r="S54" s="167"/>
      <c r="T54" s="165"/>
      <c r="U54" s="166"/>
      <c r="V54" s="24"/>
    </row>
    <row r="55" spans="1:22" ht="31.5">
      <c r="A55" s="404"/>
      <c r="B55" s="142" t="s">
        <v>107</v>
      </c>
      <c r="C55" s="143" t="s">
        <v>16</v>
      </c>
      <c r="D55" s="144">
        <f t="shared" si="16"/>
        <v>3</v>
      </c>
      <c r="E55" s="145">
        <v>3</v>
      </c>
      <c r="F55" s="146">
        <v>0</v>
      </c>
      <c r="G55" s="144">
        <v>0</v>
      </c>
      <c r="H55" s="145">
        <v>0</v>
      </c>
      <c r="I55" s="147">
        <v>0</v>
      </c>
      <c r="J55" s="171">
        <v>3.008264454</v>
      </c>
      <c r="K55" s="145">
        <v>2.3249851933999515</v>
      </c>
      <c r="L55" s="146">
        <v>0.4041950706882092</v>
      </c>
      <c r="M55" s="148"/>
      <c r="N55" s="149"/>
      <c r="O55" s="147"/>
      <c r="P55" s="167">
        <f aca="true" t="shared" si="20" ref="P55:P63">J55/D55-1</f>
        <v>0.002754817999999881</v>
      </c>
      <c r="Q55" s="165">
        <f aca="true" t="shared" si="21" ref="Q55:Q63">K55/E55-1</f>
        <v>-0.22500493553334955</v>
      </c>
      <c r="R55" s="166"/>
      <c r="S55" s="167"/>
      <c r="T55" s="165"/>
      <c r="U55" s="166"/>
      <c r="V55" s="20"/>
    </row>
    <row r="56" spans="1:22" ht="15.75">
      <c r="A56" s="404"/>
      <c r="B56" s="142" t="s">
        <v>11</v>
      </c>
      <c r="C56" s="143" t="s">
        <v>16</v>
      </c>
      <c r="D56" s="144">
        <f t="shared" si="16"/>
        <v>184</v>
      </c>
      <c r="E56" s="145">
        <v>139</v>
      </c>
      <c r="F56" s="146">
        <v>25</v>
      </c>
      <c r="G56" s="144">
        <v>0</v>
      </c>
      <c r="H56" s="145">
        <v>16</v>
      </c>
      <c r="I56" s="147">
        <v>4</v>
      </c>
      <c r="J56" s="171">
        <v>184.844478546</v>
      </c>
      <c r="K56" s="145">
        <v>142.8600052531103</v>
      </c>
      <c r="L56" s="146">
        <v>24.835990390699088</v>
      </c>
      <c r="M56" s="148">
        <v>0</v>
      </c>
      <c r="N56" s="149">
        <v>16.799530392521177</v>
      </c>
      <c r="O56" s="147">
        <v>0.34895250966945107</v>
      </c>
      <c r="P56" s="167">
        <f t="shared" si="20"/>
        <v>0.004589557315217485</v>
      </c>
      <c r="Q56" s="165">
        <f t="shared" si="21"/>
        <v>0.02776982196482236</v>
      </c>
      <c r="R56" s="166">
        <f aca="true" t="shared" si="22" ref="R56:R63">L56/F56-1</f>
        <v>-0.006560384372036432</v>
      </c>
      <c r="S56" s="167"/>
      <c r="T56" s="165">
        <f aca="true" t="shared" si="23" ref="T56:U59">N56/H56-1</f>
        <v>0.049970649532573574</v>
      </c>
      <c r="U56" s="166">
        <f t="shared" si="23"/>
        <v>-0.9127618725826372</v>
      </c>
      <c r="V56" s="20"/>
    </row>
    <row r="57" spans="1:22" ht="15.75">
      <c r="A57" s="404"/>
      <c r="B57" s="142" t="s">
        <v>40</v>
      </c>
      <c r="C57" s="143" t="s">
        <v>16</v>
      </c>
      <c r="D57" s="144">
        <f t="shared" si="16"/>
        <v>194</v>
      </c>
      <c r="E57" s="145">
        <v>146</v>
      </c>
      <c r="F57" s="146">
        <v>28</v>
      </c>
      <c r="G57" s="144">
        <v>1</v>
      </c>
      <c r="H57" s="145">
        <v>17</v>
      </c>
      <c r="I57" s="147">
        <v>2</v>
      </c>
      <c r="J57" s="171">
        <v>207.48499643860492</v>
      </c>
      <c r="K57" s="145">
        <v>160.35809083571948</v>
      </c>
      <c r="L57" s="146">
        <v>27.87800543623508</v>
      </c>
      <c r="M57" s="148">
        <v>0</v>
      </c>
      <c r="N57" s="149">
        <v>18.85720650722634</v>
      </c>
      <c r="O57" s="147">
        <v>0.39169365942402434</v>
      </c>
      <c r="P57" s="167">
        <f t="shared" si="20"/>
        <v>0.06951029092064398</v>
      </c>
      <c r="Q57" s="165">
        <f t="shared" si="21"/>
        <v>0.09834308791588686</v>
      </c>
      <c r="R57" s="166">
        <f t="shared" si="22"/>
        <v>-0.004356948705889985</v>
      </c>
      <c r="S57" s="167">
        <f>M57/G57-1</f>
        <v>-1</v>
      </c>
      <c r="T57" s="165">
        <f t="shared" si="23"/>
        <v>0.10924744160154942</v>
      </c>
      <c r="U57" s="166">
        <f t="shared" si="23"/>
        <v>-0.8041531702879878</v>
      </c>
      <c r="V57" s="20" t="s">
        <v>133</v>
      </c>
    </row>
    <row r="58" spans="1:22" ht="26.25" customHeight="1">
      <c r="A58" s="141" t="s">
        <v>41</v>
      </c>
      <c r="B58" s="142" t="s">
        <v>42</v>
      </c>
      <c r="C58" s="143" t="s">
        <v>16</v>
      </c>
      <c r="D58" s="144">
        <f t="shared" si="16"/>
        <v>4294</v>
      </c>
      <c r="E58" s="145">
        <v>3242</v>
      </c>
      <c r="F58" s="146">
        <v>615</v>
      </c>
      <c r="G58" s="144">
        <v>12</v>
      </c>
      <c r="H58" s="145">
        <v>373</v>
      </c>
      <c r="I58" s="147">
        <v>52</v>
      </c>
      <c r="J58" s="171">
        <v>7522.867354561407</v>
      </c>
      <c r="K58" s="145">
        <v>5814.168095497876</v>
      </c>
      <c r="L58" s="146">
        <v>1010.7841077973825</v>
      </c>
      <c r="M58" s="148">
        <v>0</v>
      </c>
      <c r="N58" s="149">
        <v>683.7133559843331</v>
      </c>
      <c r="O58" s="146">
        <v>14.201795281817436</v>
      </c>
      <c r="P58" s="153">
        <f t="shared" si="20"/>
        <v>0.7519486154078732</v>
      </c>
      <c r="Q58" s="151">
        <f t="shared" si="21"/>
        <v>0.7933892953417259</v>
      </c>
      <c r="R58" s="152">
        <f t="shared" si="22"/>
        <v>0.6435513947924918</v>
      </c>
      <c r="S58" s="153">
        <f>M58/G58-1</f>
        <v>-1</v>
      </c>
      <c r="T58" s="151">
        <f t="shared" si="23"/>
        <v>0.8330116782421799</v>
      </c>
      <c r="U58" s="152">
        <f t="shared" si="23"/>
        <v>-0.7268885522727416</v>
      </c>
      <c r="V58" s="20" t="s">
        <v>125</v>
      </c>
    </row>
    <row r="59" spans="1:25" ht="15.75">
      <c r="A59" s="141" t="s">
        <v>43</v>
      </c>
      <c r="B59" s="142" t="s">
        <v>44</v>
      </c>
      <c r="C59" s="143" t="s">
        <v>16</v>
      </c>
      <c r="D59" s="144">
        <f>SUM(E59:I59)</f>
        <v>276</v>
      </c>
      <c r="E59" s="145">
        <v>207</v>
      </c>
      <c r="F59" s="146">
        <v>40</v>
      </c>
      <c r="G59" s="144">
        <v>0</v>
      </c>
      <c r="H59" s="145">
        <v>25</v>
      </c>
      <c r="I59" s="147">
        <v>4</v>
      </c>
      <c r="J59" s="171">
        <v>379.321249402</v>
      </c>
      <c r="K59" s="145">
        <v>293.16448134370705</v>
      </c>
      <c r="L59" s="146">
        <v>50.96619049289914</v>
      </c>
      <c r="M59" s="148">
        <v>0</v>
      </c>
      <c r="N59" s="149">
        <v>34.4744885429303</v>
      </c>
      <c r="O59" s="146">
        <v>0.7160890224634952</v>
      </c>
      <c r="P59" s="167">
        <f t="shared" si="20"/>
        <v>0.37435235290579705</v>
      </c>
      <c r="Q59" s="165">
        <f t="shared" si="21"/>
        <v>0.4162535330613868</v>
      </c>
      <c r="R59" s="166">
        <f t="shared" si="22"/>
        <v>0.2741547623224785</v>
      </c>
      <c r="S59" s="167"/>
      <c r="T59" s="165">
        <f t="shared" si="23"/>
        <v>0.37897954171721215</v>
      </c>
      <c r="U59" s="166">
        <f t="shared" si="23"/>
        <v>-0.8209777443841262</v>
      </c>
      <c r="V59" s="24" t="s">
        <v>122</v>
      </c>
      <c r="Y59" s="1" t="s">
        <v>70</v>
      </c>
    </row>
    <row r="60" spans="1:22" ht="60">
      <c r="A60" s="176" t="s">
        <v>66</v>
      </c>
      <c r="B60" s="175" t="s">
        <v>45</v>
      </c>
      <c r="C60" s="177" t="s">
        <v>16</v>
      </c>
      <c r="D60" s="181">
        <f>SUM(E60:I60)</f>
        <v>7</v>
      </c>
      <c r="E60" s="179">
        <v>5</v>
      </c>
      <c r="F60" s="180">
        <v>1</v>
      </c>
      <c r="G60" s="181">
        <v>0</v>
      </c>
      <c r="H60" s="179">
        <v>1</v>
      </c>
      <c r="I60" s="182">
        <v>0</v>
      </c>
      <c r="J60" s="183">
        <v>76.03680357</v>
      </c>
      <c r="K60" s="179">
        <v>58.76625714160387</v>
      </c>
      <c r="L60" s="180">
        <v>10.216422679534022</v>
      </c>
      <c r="M60" s="184">
        <v>0</v>
      </c>
      <c r="N60" s="179">
        <v>6.91058019461745</v>
      </c>
      <c r="O60" s="180">
        <v>0.14354355424466506</v>
      </c>
      <c r="P60" s="167">
        <f t="shared" si="20"/>
        <v>9.86240051</v>
      </c>
      <c r="Q60" s="165">
        <f t="shared" si="21"/>
        <v>10.753251428320775</v>
      </c>
      <c r="R60" s="166">
        <f t="shared" si="22"/>
        <v>9.216422679534022</v>
      </c>
      <c r="S60" s="167"/>
      <c r="T60" s="165">
        <f>N60/H60-1</f>
        <v>5.91058019461745</v>
      </c>
      <c r="U60" s="166"/>
      <c r="V60" s="28" t="s">
        <v>126</v>
      </c>
    </row>
    <row r="61" spans="1:22" ht="33.75" customHeight="1">
      <c r="A61" s="141" t="s">
        <v>46</v>
      </c>
      <c r="B61" s="142" t="s">
        <v>62</v>
      </c>
      <c r="C61" s="143" t="s">
        <v>16</v>
      </c>
      <c r="D61" s="144">
        <f>SUM(E61:I61)</f>
        <v>48</v>
      </c>
      <c r="E61" s="145">
        <v>36</v>
      </c>
      <c r="F61" s="146">
        <v>7</v>
      </c>
      <c r="G61" s="144">
        <v>0</v>
      </c>
      <c r="H61" s="145">
        <v>4</v>
      </c>
      <c r="I61" s="147">
        <v>1</v>
      </c>
      <c r="J61" s="171">
        <v>261.35326971</v>
      </c>
      <c r="K61" s="145">
        <v>201.99104553938065</v>
      </c>
      <c r="L61" s="146">
        <v>35.11583005429085</v>
      </c>
      <c r="M61" s="148">
        <v>0</v>
      </c>
      <c r="N61" s="145">
        <v>23.753007026310993</v>
      </c>
      <c r="O61" s="146">
        <v>0.4933870900175447</v>
      </c>
      <c r="P61" s="167">
        <f t="shared" si="20"/>
        <v>4.444859785625</v>
      </c>
      <c r="Q61" s="165">
        <f t="shared" si="21"/>
        <v>4.610862376093907</v>
      </c>
      <c r="R61" s="166">
        <f t="shared" si="22"/>
        <v>4.016547150612979</v>
      </c>
      <c r="S61" s="167"/>
      <c r="T61" s="165">
        <f>N61/H61-1</f>
        <v>4.938251756577748</v>
      </c>
      <c r="U61" s="166">
        <f>O61/I61-1</f>
        <v>-0.5066129099824552</v>
      </c>
      <c r="V61" s="20" t="s">
        <v>84</v>
      </c>
    </row>
    <row r="62" spans="1:22" ht="24.75" customHeight="1">
      <c r="A62" s="141" t="s">
        <v>61</v>
      </c>
      <c r="B62" s="142" t="s">
        <v>47</v>
      </c>
      <c r="C62" s="143" t="s">
        <v>16</v>
      </c>
      <c r="D62" s="144">
        <f>SUM(E62:I62)</f>
        <v>205</v>
      </c>
      <c r="E62" s="145">
        <v>155</v>
      </c>
      <c r="F62" s="146">
        <v>29</v>
      </c>
      <c r="G62" s="144">
        <v>1</v>
      </c>
      <c r="H62" s="145">
        <v>18</v>
      </c>
      <c r="I62" s="147">
        <v>2</v>
      </c>
      <c r="J62" s="171">
        <v>212.77369386</v>
      </c>
      <c r="K62" s="145">
        <v>164.44554504233562</v>
      </c>
      <c r="L62" s="146">
        <v>28.58860301193922</v>
      </c>
      <c r="M62" s="148">
        <v>0</v>
      </c>
      <c r="N62" s="145">
        <v>19.337868054525224</v>
      </c>
      <c r="O62" s="146">
        <v>0.40167775119995963</v>
      </c>
      <c r="P62" s="167">
        <f t="shared" si="20"/>
        <v>0.037920457853658496</v>
      </c>
      <c r="Q62" s="165">
        <f t="shared" si="21"/>
        <v>0.06093900027313315</v>
      </c>
      <c r="R62" s="166">
        <f t="shared" si="22"/>
        <v>-0.014186103036578634</v>
      </c>
      <c r="S62" s="167">
        <f>M62/G62-1</f>
        <v>-1</v>
      </c>
      <c r="T62" s="165">
        <f>N62/H62-1</f>
        <v>0.07432600302917902</v>
      </c>
      <c r="U62" s="166">
        <f>O62/I62-1</f>
        <v>-0.7991611244000202</v>
      </c>
      <c r="V62" s="20"/>
    </row>
    <row r="63" spans="1:22" ht="21.75" customHeight="1">
      <c r="A63" s="176" t="s">
        <v>48</v>
      </c>
      <c r="B63" s="175" t="s">
        <v>7</v>
      </c>
      <c r="C63" s="177" t="s">
        <v>16</v>
      </c>
      <c r="D63" s="181">
        <f>SUM(E63:I63)</f>
        <v>551</v>
      </c>
      <c r="E63" s="179">
        <v>415</v>
      </c>
      <c r="F63" s="180">
        <v>79</v>
      </c>
      <c r="G63" s="181">
        <v>2</v>
      </c>
      <c r="H63" s="179">
        <v>48</v>
      </c>
      <c r="I63" s="182">
        <v>7</v>
      </c>
      <c r="J63" s="183">
        <v>579.15</v>
      </c>
      <c r="K63" s="179">
        <v>447.605320392348</v>
      </c>
      <c r="L63" s="180">
        <v>77.81549088139987</v>
      </c>
      <c r="M63" s="184">
        <v>0</v>
      </c>
      <c r="N63" s="179">
        <v>52.63585963379149</v>
      </c>
      <c r="O63" s="180">
        <v>1.0933290924606625</v>
      </c>
      <c r="P63" s="167">
        <f t="shared" si="20"/>
        <v>0.05108892921960062</v>
      </c>
      <c r="Q63" s="165">
        <f t="shared" si="21"/>
        <v>0.07856703708999513</v>
      </c>
      <c r="R63" s="166">
        <f t="shared" si="22"/>
        <v>-0.01499378631139403</v>
      </c>
      <c r="S63" s="167">
        <f>M63/G63-1</f>
        <v>-1</v>
      </c>
      <c r="T63" s="165">
        <f>N63/H63-1</f>
        <v>0.09658040903732279</v>
      </c>
      <c r="U63" s="166">
        <f>O63/I63-1</f>
        <v>-0.8438101296484768</v>
      </c>
      <c r="V63" s="20"/>
    </row>
    <row r="64" spans="1:22" ht="15.75" hidden="1">
      <c r="A64" s="210"/>
      <c r="B64" s="156"/>
      <c r="C64" s="157"/>
      <c r="D64" s="158"/>
      <c r="E64" s="159"/>
      <c r="F64" s="160"/>
      <c r="G64" s="158"/>
      <c r="H64" s="159"/>
      <c r="I64" s="163"/>
      <c r="J64" s="172"/>
      <c r="K64" s="159"/>
      <c r="L64" s="160"/>
      <c r="M64" s="161"/>
      <c r="N64" s="159"/>
      <c r="O64" s="160"/>
      <c r="P64" s="164"/>
      <c r="Q64" s="165"/>
      <c r="R64" s="166"/>
      <c r="S64" s="167"/>
      <c r="T64" s="165"/>
      <c r="U64" s="166"/>
      <c r="V64" s="25"/>
    </row>
    <row r="65" spans="1:22" ht="23.25" customHeight="1">
      <c r="A65" s="210" t="s">
        <v>49</v>
      </c>
      <c r="B65" s="156" t="s">
        <v>69</v>
      </c>
      <c r="C65" s="157" t="s">
        <v>16</v>
      </c>
      <c r="D65" s="158">
        <f aca="true" t="shared" si="24" ref="D65:O65">D22+D30</f>
        <v>7021093</v>
      </c>
      <c r="E65" s="159">
        <f t="shared" si="24"/>
        <v>5107001</v>
      </c>
      <c r="F65" s="160">
        <f t="shared" si="24"/>
        <v>971093</v>
      </c>
      <c r="G65" s="158">
        <f t="shared" si="24"/>
        <v>36069</v>
      </c>
      <c r="H65" s="159">
        <f t="shared" si="24"/>
        <v>869991</v>
      </c>
      <c r="I65" s="163">
        <f t="shared" si="24"/>
        <v>36939</v>
      </c>
      <c r="J65" s="158">
        <f t="shared" si="24"/>
        <v>6988158.247712108</v>
      </c>
      <c r="K65" s="159">
        <f t="shared" si="24"/>
        <v>5228592.433991474</v>
      </c>
      <c r="L65" s="160">
        <f t="shared" si="24"/>
        <v>858517.8400137037</v>
      </c>
      <c r="M65" s="158">
        <f t="shared" si="24"/>
        <v>0</v>
      </c>
      <c r="N65" s="159">
        <f t="shared" si="24"/>
        <v>895400.9648972733</v>
      </c>
      <c r="O65" s="163">
        <f t="shared" si="24"/>
        <v>5647.008809657311</v>
      </c>
      <c r="P65" s="164">
        <f aca="true" t="shared" si="25" ref="P65:U65">J65/D65-1</f>
        <v>-0.004690829802125096</v>
      </c>
      <c r="Q65" s="169">
        <f t="shared" si="25"/>
        <v>0.0238087742672215</v>
      </c>
      <c r="R65" s="170">
        <f t="shared" si="25"/>
        <v>-0.11592623980020067</v>
      </c>
      <c r="S65" s="164">
        <f t="shared" si="25"/>
        <v>-1</v>
      </c>
      <c r="T65" s="169">
        <f t="shared" si="25"/>
        <v>0.029207158346779893</v>
      </c>
      <c r="U65" s="170">
        <f t="shared" si="25"/>
        <v>-0.8471261049390262</v>
      </c>
      <c r="V65" s="25"/>
    </row>
    <row r="66" spans="1:22" ht="15.75">
      <c r="A66" s="210" t="s">
        <v>50</v>
      </c>
      <c r="B66" s="156" t="s">
        <v>51</v>
      </c>
      <c r="C66" s="157" t="s">
        <v>16</v>
      </c>
      <c r="D66" s="158">
        <f>SUM(E66:I66)</f>
        <v>0</v>
      </c>
      <c r="E66" s="159">
        <v>0</v>
      </c>
      <c r="F66" s="160">
        <v>0</v>
      </c>
      <c r="G66" s="158">
        <v>0</v>
      </c>
      <c r="H66" s="159">
        <v>0</v>
      </c>
      <c r="I66" s="163">
        <v>0</v>
      </c>
      <c r="J66" s="172">
        <f>J68-J65</f>
        <v>-420888.30357076507</v>
      </c>
      <c r="K66" s="159">
        <f>J66*K71/100</f>
        <v>-325290.2425437005</v>
      </c>
      <c r="L66" s="160">
        <f>J66*L71/100</f>
        <v>-56551.20426245141</v>
      </c>
      <c r="M66" s="161">
        <f>J66*M71/100</f>
        <v>0</v>
      </c>
      <c r="N66" s="211">
        <f>J66*N71/100</f>
        <v>-38252.29675948444</v>
      </c>
      <c r="O66" s="163">
        <f>J66*O71/100</f>
        <v>-794.560005128779</v>
      </c>
      <c r="P66" s="164"/>
      <c r="Q66" s="169"/>
      <c r="R66" s="170"/>
      <c r="S66" s="164"/>
      <c r="T66" s="169"/>
      <c r="U66" s="170"/>
      <c r="V66" s="28" t="s">
        <v>123</v>
      </c>
    </row>
    <row r="67" spans="1:22" ht="30.75" customHeight="1">
      <c r="A67" s="210" t="s">
        <v>52</v>
      </c>
      <c r="B67" s="212" t="s">
        <v>120</v>
      </c>
      <c r="C67" s="157" t="s">
        <v>16</v>
      </c>
      <c r="D67" s="213">
        <f>E67+F67+G67+H67+I67</f>
        <v>30686</v>
      </c>
      <c r="E67" s="214">
        <v>23179</v>
      </c>
      <c r="F67" s="215">
        <v>4401</v>
      </c>
      <c r="G67" s="213">
        <v>69</v>
      </c>
      <c r="H67" s="214">
        <v>2655</v>
      </c>
      <c r="I67" s="215">
        <v>382</v>
      </c>
      <c r="J67" s="216">
        <v>32394.64</v>
      </c>
      <c r="K67" s="179">
        <f>J67*K71/100</f>
        <v>25036.714523344166</v>
      </c>
      <c r="L67" s="180">
        <f>J67*L71/100</f>
        <v>4352.593997282624</v>
      </c>
      <c r="M67" s="184">
        <f>J67*M71/100</f>
        <v>0</v>
      </c>
      <c r="N67" s="179">
        <f>J67*N71/100</f>
        <v>2944.176334157312</v>
      </c>
      <c r="O67" s="180">
        <f>J67*O71/100</f>
        <v>61.1551452159024</v>
      </c>
      <c r="P67" s="164">
        <f aca="true" t="shared" si="26" ref="P67:U69">J67/D67-1</f>
        <v>0.055681418236329216</v>
      </c>
      <c r="Q67" s="169">
        <f t="shared" si="26"/>
        <v>0.08014644822227734</v>
      </c>
      <c r="R67" s="170">
        <f t="shared" si="26"/>
        <v>-0.010998864512014594</v>
      </c>
      <c r="S67" s="164">
        <f t="shared" si="26"/>
        <v>-1</v>
      </c>
      <c r="T67" s="169">
        <f t="shared" si="26"/>
        <v>0.10891763998392157</v>
      </c>
      <c r="U67" s="170">
        <f t="shared" si="26"/>
        <v>-0.8399079968170095</v>
      </c>
      <c r="V67" s="33"/>
    </row>
    <row r="68" spans="1:22" ht="15.75">
      <c r="A68" s="210" t="s">
        <v>54</v>
      </c>
      <c r="B68" s="156" t="s">
        <v>53</v>
      </c>
      <c r="C68" s="157" t="s">
        <v>16</v>
      </c>
      <c r="D68" s="158">
        <f aca="true" t="shared" si="27" ref="D68:I68">D65</f>
        <v>7021093</v>
      </c>
      <c r="E68" s="159">
        <f t="shared" si="27"/>
        <v>5107001</v>
      </c>
      <c r="F68" s="160">
        <f t="shared" si="27"/>
        <v>971093</v>
      </c>
      <c r="G68" s="158">
        <f t="shared" si="27"/>
        <v>36069</v>
      </c>
      <c r="H68" s="159">
        <f t="shared" si="27"/>
        <v>869991</v>
      </c>
      <c r="I68" s="160">
        <f t="shared" si="27"/>
        <v>36939</v>
      </c>
      <c r="J68" s="172">
        <f>SUM(K68:O68)</f>
        <v>6567269.944141343</v>
      </c>
      <c r="K68" s="159">
        <v>4931988.118612813</v>
      </c>
      <c r="L68" s="160">
        <v>743805.68672853</v>
      </c>
      <c r="M68" s="161">
        <v>0</v>
      </c>
      <c r="N68" s="159">
        <v>885902.92948</v>
      </c>
      <c r="O68" s="160">
        <v>5573.20932</v>
      </c>
      <c r="P68" s="164">
        <f t="shared" si="26"/>
        <v>-0.06463709508742543</v>
      </c>
      <c r="Q68" s="169">
        <f t="shared" si="26"/>
        <v>-0.03426920836459346</v>
      </c>
      <c r="R68" s="170">
        <f t="shared" si="26"/>
        <v>-0.23405308582336604</v>
      </c>
      <c r="S68" s="164">
        <f t="shared" si="26"/>
        <v>-1</v>
      </c>
      <c r="T68" s="169">
        <f t="shared" si="26"/>
        <v>0.018289763319390806</v>
      </c>
      <c r="U68" s="170">
        <f t="shared" si="26"/>
        <v>-0.849123979533826</v>
      </c>
      <c r="V68" s="20"/>
    </row>
    <row r="69" spans="1:22" ht="15.75">
      <c r="A69" s="210" t="s">
        <v>55</v>
      </c>
      <c r="B69" s="156" t="s">
        <v>56</v>
      </c>
      <c r="C69" s="157" t="s">
        <v>57</v>
      </c>
      <c r="D69" s="217">
        <f>SUM(E69:I69)</f>
        <v>2628.1079999999997</v>
      </c>
      <c r="E69" s="218">
        <v>1985.237</v>
      </c>
      <c r="F69" s="219">
        <v>376.923</v>
      </c>
      <c r="G69" s="217">
        <v>5.892</v>
      </c>
      <c r="H69" s="218">
        <v>227.367</v>
      </c>
      <c r="I69" s="219">
        <v>32.689</v>
      </c>
      <c r="J69" s="220">
        <f>K69+L69+M69+N69+O69</f>
        <v>2612.5416580394995</v>
      </c>
      <c r="K69" s="218">
        <v>2019.1445150394998</v>
      </c>
      <c r="L69" s="219">
        <v>351.025143</v>
      </c>
      <c r="M69" s="221">
        <v>0</v>
      </c>
      <c r="N69" s="222">
        <v>237.44</v>
      </c>
      <c r="O69" s="223">
        <v>4.932</v>
      </c>
      <c r="P69" s="224">
        <f t="shared" si="26"/>
        <v>-0.005923022174317172</v>
      </c>
      <c r="Q69" s="225">
        <f t="shared" si="26"/>
        <v>0.017079832301886144</v>
      </c>
      <c r="R69" s="226">
        <f t="shared" si="26"/>
        <v>-0.06870861422624774</v>
      </c>
      <c r="S69" s="224">
        <f t="shared" si="26"/>
        <v>-1</v>
      </c>
      <c r="T69" s="225">
        <f t="shared" si="26"/>
        <v>0.0443028231889413</v>
      </c>
      <c r="U69" s="226">
        <f t="shared" si="26"/>
        <v>-0.8491235583835541</v>
      </c>
      <c r="V69" s="20"/>
    </row>
    <row r="70" spans="1:22" ht="32.25" thickBot="1">
      <c r="A70" s="210" t="s">
        <v>63</v>
      </c>
      <c r="B70" s="156" t="s">
        <v>85</v>
      </c>
      <c r="C70" s="157" t="s">
        <v>64</v>
      </c>
      <c r="D70" s="227" t="e">
        <f>#REF!/D69</f>
        <v>#REF!</v>
      </c>
      <c r="E70" s="228">
        <f>E68/E69</f>
        <v>2572.489329989316</v>
      </c>
      <c r="F70" s="229">
        <f>F68/F69</f>
        <v>2576.369709463206</v>
      </c>
      <c r="G70" s="230">
        <f>G68/G69</f>
        <v>6121.690427698574</v>
      </c>
      <c r="H70" s="228">
        <f>H68/H69</f>
        <v>3826.373220388183</v>
      </c>
      <c r="I70" s="229">
        <f>I68/I69</f>
        <v>1130.0131542720792</v>
      </c>
      <c r="J70" s="231"/>
      <c r="K70" s="228">
        <f>K68/K69</f>
        <v>2442.6127411273137</v>
      </c>
      <c r="L70" s="229">
        <f>L68/L69</f>
        <v>2118.952734757607</v>
      </c>
      <c r="M70" s="232">
        <v>0</v>
      </c>
      <c r="N70" s="233">
        <f>N68/N69</f>
        <v>3731.0601814353104</v>
      </c>
      <c r="O70" s="229">
        <f>O68/O69</f>
        <v>1130.01</v>
      </c>
      <c r="P70" s="224"/>
      <c r="Q70" s="225">
        <f>K70/E70-1</f>
        <v>-0.05048673568746809</v>
      </c>
      <c r="R70" s="226">
        <f>L70/F70-1</f>
        <v>-0.17754322022397306</v>
      </c>
      <c r="S70" s="224">
        <f>M70/G70-1</f>
        <v>-1</v>
      </c>
      <c r="T70" s="225">
        <f>N70/H70-1</f>
        <v>-0.024909498750674275</v>
      </c>
      <c r="U70" s="226">
        <f>O70/I70-1</f>
        <v>-2.7913587264949413E-06</v>
      </c>
      <c r="V70" s="25"/>
    </row>
    <row r="71" spans="1:22" s="11" customFormat="1" ht="16.5" hidden="1" thickBot="1">
      <c r="A71" s="350"/>
      <c r="B71" s="351" t="s">
        <v>86</v>
      </c>
      <c r="C71" s="352"/>
      <c r="D71" s="353">
        <f>E71+F71+G71+H71+I71</f>
        <v>100.00000000000001</v>
      </c>
      <c r="E71" s="354">
        <f>E69/D69*100</f>
        <v>75.53863844256021</v>
      </c>
      <c r="F71" s="355">
        <f>F69/D69*100</f>
        <v>14.341990511805452</v>
      </c>
      <c r="G71" s="356">
        <f>G69/D69*100</f>
        <v>0.22419169988447968</v>
      </c>
      <c r="H71" s="357">
        <f>H69/D69*100</f>
        <v>8.65135679355643</v>
      </c>
      <c r="I71" s="355">
        <f>I69/D69*100</f>
        <v>1.2438225521934412</v>
      </c>
      <c r="J71" s="358">
        <f>SUM(K71:O71)</f>
        <v>100</v>
      </c>
      <c r="K71" s="359">
        <f>K69/J69*100</f>
        <v>77.28659594100803</v>
      </c>
      <c r="L71" s="355">
        <f>L69/J69*100</f>
        <v>13.436154861676574</v>
      </c>
      <c r="M71" s="356">
        <f>M69/J69*100</f>
        <v>0</v>
      </c>
      <c r="N71" s="357">
        <f>N69/J69*100</f>
        <v>9.08846751856885</v>
      </c>
      <c r="O71" s="355">
        <f>O69/J69*100</f>
        <v>0.18878167874655313</v>
      </c>
      <c r="P71" s="356"/>
      <c r="Q71" s="9"/>
      <c r="R71" s="2"/>
      <c r="S71" s="3"/>
      <c r="T71" s="2"/>
      <c r="U71" s="4"/>
      <c r="V71" s="34"/>
    </row>
    <row r="72" spans="1:22" ht="48" customHeight="1">
      <c r="A72" s="406" t="s">
        <v>90</v>
      </c>
      <c r="B72" s="235" t="s">
        <v>93</v>
      </c>
      <c r="C72" s="202" t="s">
        <v>57</v>
      </c>
      <c r="D72" s="236">
        <f>SUM(E72:F72)</f>
        <v>2362.16</v>
      </c>
      <c r="E72" s="237">
        <v>1985.237</v>
      </c>
      <c r="F72" s="238">
        <v>376.923</v>
      </c>
      <c r="G72" s="239"/>
      <c r="H72" s="240"/>
      <c r="I72" s="239"/>
      <c r="J72" s="241">
        <f>J74+J75</f>
        <v>2370.1696580395</v>
      </c>
      <c r="K72" s="237">
        <f>K74+K75</f>
        <v>2019.1445150394998</v>
      </c>
      <c r="L72" s="242">
        <f>L74+L75</f>
        <v>351.025143</v>
      </c>
      <c r="M72" s="243"/>
      <c r="N72" s="244"/>
      <c r="O72" s="245"/>
      <c r="P72" s="224">
        <f>J72/D72-1</f>
        <v>0.0033908194362364252</v>
      </c>
      <c r="Q72" s="225">
        <f>K72/E72-1</f>
        <v>0.017079832301886144</v>
      </c>
      <c r="R72" s="226">
        <f>L72/F72-1</f>
        <v>-0.06870861422624774</v>
      </c>
      <c r="S72" s="164"/>
      <c r="T72" s="169"/>
      <c r="U72" s="170"/>
      <c r="V72" s="28"/>
    </row>
    <row r="73" spans="1:22" ht="15.75">
      <c r="A73" s="407"/>
      <c r="B73" s="246" t="s">
        <v>14</v>
      </c>
      <c r="C73" s="23"/>
      <c r="D73" s="236"/>
      <c r="E73" s="247"/>
      <c r="F73" s="248"/>
      <c r="G73" s="239"/>
      <c r="H73" s="240"/>
      <c r="I73" s="239"/>
      <c r="J73" s="249"/>
      <c r="K73" s="250"/>
      <c r="L73" s="251"/>
      <c r="M73" s="243"/>
      <c r="N73" s="244"/>
      <c r="O73" s="245"/>
      <c r="P73" s="164"/>
      <c r="Q73" s="169"/>
      <c r="R73" s="170"/>
      <c r="S73" s="164"/>
      <c r="T73" s="169"/>
      <c r="U73" s="170"/>
      <c r="V73" s="35"/>
    </row>
    <row r="74" spans="1:22" ht="45">
      <c r="A74" s="407"/>
      <c r="B74" s="252" t="s">
        <v>131</v>
      </c>
      <c r="C74" s="157" t="s">
        <v>16</v>
      </c>
      <c r="D74" s="253">
        <f>SUM(E74:F74)</f>
        <v>1457.987</v>
      </c>
      <c r="E74" s="254">
        <v>1125.606</v>
      </c>
      <c r="F74" s="255">
        <v>332.381</v>
      </c>
      <c r="G74" s="256"/>
      <c r="H74" s="257"/>
      <c r="I74" s="256"/>
      <c r="J74" s="258">
        <f>K74+L74</f>
        <v>1421.13915</v>
      </c>
      <c r="K74" s="254">
        <v>1107.080072</v>
      </c>
      <c r="L74" s="259">
        <v>314.059078</v>
      </c>
      <c r="M74" s="260"/>
      <c r="N74" s="261"/>
      <c r="O74" s="262"/>
      <c r="P74" s="153">
        <f aca="true" t="shared" si="28" ref="P74:R75">J74/D74-1</f>
        <v>-0.025273099142859357</v>
      </c>
      <c r="Q74" s="151">
        <f t="shared" si="28"/>
        <v>-0.01645862584243507</v>
      </c>
      <c r="R74" s="152">
        <f t="shared" si="28"/>
        <v>-0.0551232531342043</v>
      </c>
      <c r="S74" s="153"/>
      <c r="T74" s="151"/>
      <c r="U74" s="152"/>
      <c r="V74" s="36" t="s">
        <v>108</v>
      </c>
    </row>
    <row r="75" spans="1:22" ht="25.5" customHeight="1" thickBot="1">
      <c r="A75" s="408"/>
      <c r="B75" s="263" t="s">
        <v>92</v>
      </c>
      <c r="C75" s="264" t="s">
        <v>16</v>
      </c>
      <c r="D75" s="253">
        <f>SUM(E75:F75)</f>
        <v>904.173</v>
      </c>
      <c r="E75" s="265">
        <v>859.63</v>
      </c>
      <c r="F75" s="266">
        <v>44.543</v>
      </c>
      <c r="G75" s="267"/>
      <c r="H75" s="268"/>
      <c r="I75" s="267"/>
      <c r="J75" s="269">
        <f>K75+L75</f>
        <v>949.0305080394999</v>
      </c>
      <c r="K75" s="265">
        <v>912.0644430394999</v>
      </c>
      <c r="L75" s="270">
        <v>36.96606499999999</v>
      </c>
      <c r="M75" s="271"/>
      <c r="N75" s="272"/>
      <c r="O75" s="273"/>
      <c r="P75" s="153">
        <f t="shared" si="28"/>
        <v>0.04961164294830733</v>
      </c>
      <c r="Q75" s="151">
        <f t="shared" si="28"/>
        <v>0.060996525295184956</v>
      </c>
      <c r="R75" s="152">
        <f t="shared" si="28"/>
        <v>-0.17010383225198134</v>
      </c>
      <c r="S75" s="274"/>
      <c r="T75" s="275"/>
      <c r="U75" s="276"/>
      <c r="V75" s="37"/>
    </row>
    <row r="76" spans="1:22" s="288" customFormat="1" ht="24.75" customHeight="1">
      <c r="A76" s="406" t="s">
        <v>91</v>
      </c>
      <c r="B76" s="277" t="s">
        <v>85</v>
      </c>
      <c r="C76" s="428" t="s">
        <v>64</v>
      </c>
      <c r="D76" s="278"/>
      <c r="E76" s="279"/>
      <c r="F76" s="280"/>
      <c r="G76" s="281"/>
      <c r="H76" s="282"/>
      <c r="I76" s="283"/>
      <c r="J76" s="284"/>
      <c r="K76" s="279"/>
      <c r="L76" s="280"/>
      <c r="M76" s="281"/>
      <c r="N76" s="279"/>
      <c r="O76" s="285"/>
      <c r="P76" s="136"/>
      <c r="Q76" s="286"/>
      <c r="R76" s="287"/>
      <c r="S76" s="136"/>
      <c r="T76" s="286"/>
      <c r="U76" s="287"/>
      <c r="V76" s="419"/>
    </row>
    <row r="77" spans="1:22" s="288" customFormat="1" ht="47.25">
      <c r="A77" s="407"/>
      <c r="B77" s="289" t="s">
        <v>95</v>
      </c>
      <c r="C77" s="429"/>
      <c r="D77" s="290"/>
      <c r="E77" s="291">
        <v>1003.3</v>
      </c>
      <c r="F77" s="292">
        <v>1015.47</v>
      </c>
      <c r="G77" s="293"/>
      <c r="H77" s="294"/>
      <c r="I77" s="295"/>
      <c r="J77" s="296"/>
      <c r="K77" s="297">
        <f aca="true" t="shared" si="29" ref="K77:L79">E77</f>
        <v>1003.3</v>
      </c>
      <c r="L77" s="298">
        <f t="shared" si="29"/>
        <v>1015.47</v>
      </c>
      <c r="M77" s="299"/>
      <c r="N77" s="300"/>
      <c r="O77" s="301"/>
      <c r="P77" s="303"/>
      <c r="Q77" s="151">
        <f aca="true" t="shared" si="30" ref="Q77:R82">K77/E77-1</f>
        <v>0</v>
      </c>
      <c r="R77" s="152">
        <f t="shared" si="30"/>
        <v>0</v>
      </c>
      <c r="S77" s="304"/>
      <c r="T77" s="225"/>
      <c r="U77" s="305"/>
      <c r="V77" s="417"/>
    </row>
    <row r="78" spans="1:22" s="288" customFormat="1" ht="47.25">
      <c r="A78" s="407"/>
      <c r="B78" s="173" t="s">
        <v>96</v>
      </c>
      <c r="C78" s="429"/>
      <c r="D78" s="290"/>
      <c r="E78" s="291">
        <v>2158.01</v>
      </c>
      <c r="F78" s="292">
        <v>2051.86</v>
      </c>
      <c r="G78" s="293"/>
      <c r="H78" s="294"/>
      <c r="I78" s="295"/>
      <c r="J78" s="296"/>
      <c r="K78" s="297">
        <f t="shared" si="29"/>
        <v>2158.01</v>
      </c>
      <c r="L78" s="298">
        <f t="shared" si="29"/>
        <v>2051.86</v>
      </c>
      <c r="M78" s="299"/>
      <c r="N78" s="300"/>
      <c r="O78" s="301"/>
      <c r="P78" s="303"/>
      <c r="Q78" s="151">
        <f t="shared" si="30"/>
        <v>0</v>
      </c>
      <c r="R78" s="152">
        <f t="shared" si="30"/>
        <v>0</v>
      </c>
      <c r="S78" s="304"/>
      <c r="T78" s="225"/>
      <c r="U78" s="305"/>
      <c r="V78" s="417"/>
    </row>
    <row r="79" spans="1:22" s="288" customFormat="1" ht="78.75">
      <c r="A79" s="407"/>
      <c r="B79" s="173" t="s">
        <v>97</v>
      </c>
      <c r="C79" s="429"/>
      <c r="D79" s="290"/>
      <c r="E79" s="291">
        <v>2006.59</v>
      </c>
      <c r="F79" s="292">
        <v>2030.93</v>
      </c>
      <c r="G79" s="293"/>
      <c r="H79" s="294"/>
      <c r="I79" s="295"/>
      <c r="J79" s="296"/>
      <c r="K79" s="297">
        <f t="shared" si="29"/>
        <v>2006.59</v>
      </c>
      <c r="L79" s="298">
        <f t="shared" si="29"/>
        <v>2030.93</v>
      </c>
      <c r="M79" s="299"/>
      <c r="N79" s="300"/>
      <c r="O79" s="301"/>
      <c r="P79" s="303"/>
      <c r="Q79" s="151">
        <f t="shared" si="30"/>
        <v>0</v>
      </c>
      <c r="R79" s="152">
        <f t="shared" si="30"/>
        <v>0</v>
      </c>
      <c r="S79" s="304"/>
      <c r="T79" s="225"/>
      <c r="U79" s="305"/>
      <c r="V79" s="28"/>
    </row>
    <row r="80" spans="1:22" s="288" customFormat="1" ht="31.5">
      <c r="A80" s="407"/>
      <c r="B80" s="173" t="s">
        <v>98</v>
      </c>
      <c r="C80" s="429"/>
      <c r="D80" s="290"/>
      <c r="E80" s="291">
        <v>3005.52</v>
      </c>
      <c r="F80" s="292">
        <v>2498.04</v>
      </c>
      <c r="G80" s="293"/>
      <c r="H80" s="294"/>
      <c r="I80" s="295"/>
      <c r="J80" s="296"/>
      <c r="K80" s="297">
        <f aca="true" t="shared" si="31" ref="K80:L82">E80</f>
        <v>3005.52</v>
      </c>
      <c r="L80" s="298">
        <f t="shared" si="31"/>
        <v>2498.04</v>
      </c>
      <c r="M80" s="299"/>
      <c r="N80" s="300"/>
      <c r="O80" s="301"/>
      <c r="P80" s="303"/>
      <c r="Q80" s="151">
        <f t="shared" si="30"/>
        <v>0</v>
      </c>
      <c r="R80" s="152">
        <f t="shared" si="30"/>
        <v>0</v>
      </c>
      <c r="S80" s="304"/>
      <c r="T80" s="225"/>
      <c r="U80" s="305"/>
      <c r="V80" s="416"/>
    </row>
    <row r="81" spans="1:22" s="288" customFormat="1" ht="31.5">
      <c r="A81" s="407"/>
      <c r="B81" s="173" t="s">
        <v>99</v>
      </c>
      <c r="C81" s="429"/>
      <c r="D81" s="290"/>
      <c r="E81" s="291">
        <v>5214.22</v>
      </c>
      <c r="F81" s="292">
        <v>5214.41</v>
      </c>
      <c r="G81" s="293"/>
      <c r="H81" s="294"/>
      <c r="I81" s="295"/>
      <c r="J81" s="296"/>
      <c r="K81" s="297">
        <f t="shared" si="31"/>
        <v>5214.22</v>
      </c>
      <c r="L81" s="298">
        <f t="shared" si="31"/>
        <v>5214.41</v>
      </c>
      <c r="M81" s="299"/>
      <c r="N81" s="300"/>
      <c r="O81" s="301"/>
      <c r="P81" s="303"/>
      <c r="Q81" s="151">
        <f t="shared" si="30"/>
        <v>0</v>
      </c>
      <c r="R81" s="152">
        <f t="shared" si="30"/>
        <v>0</v>
      </c>
      <c r="S81" s="304"/>
      <c r="T81" s="225"/>
      <c r="U81" s="305"/>
      <c r="V81" s="417"/>
    </row>
    <row r="82" spans="1:23" s="288" customFormat="1" ht="63">
      <c r="A82" s="427"/>
      <c r="B82" s="306" t="s">
        <v>100</v>
      </c>
      <c r="C82" s="430"/>
      <c r="D82" s="307"/>
      <c r="E82" s="261">
        <v>3477.45</v>
      </c>
      <c r="F82" s="302">
        <v>3482.03</v>
      </c>
      <c r="G82" s="308"/>
      <c r="H82" s="309"/>
      <c r="I82" s="310"/>
      <c r="J82" s="311"/>
      <c r="K82" s="312">
        <f t="shared" si="31"/>
        <v>3477.45</v>
      </c>
      <c r="L82" s="313">
        <f t="shared" si="31"/>
        <v>3482.03</v>
      </c>
      <c r="M82" s="232"/>
      <c r="N82" s="228"/>
      <c r="O82" s="234"/>
      <c r="P82" s="314"/>
      <c r="Q82" s="151">
        <f t="shared" si="30"/>
        <v>0</v>
      </c>
      <c r="R82" s="152">
        <f t="shared" si="30"/>
        <v>0</v>
      </c>
      <c r="S82" s="164"/>
      <c r="T82" s="169"/>
      <c r="U82" s="170"/>
      <c r="V82" s="418"/>
      <c r="W82" s="315"/>
    </row>
    <row r="83" spans="1:23" s="288" customFormat="1" ht="16.5" thickBot="1">
      <c r="A83" s="316"/>
      <c r="B83" s="317" t="s">
        <v>87</v>
      </c>
      <c r="C83" s="318"/>
      <c r="D83" s="409"/>
      <c r="E83" s="410"/>
      <c r="F83" s="410"/>
      <c r="G83" s="410"/>
      <c r="H83" s="410"/>
      <c r="I83" s="410"/>
      <c r="J83" s="319"/>
      <c r="K83" s="320"/>
      <c r="L83" s="321"/>
      <c r="M83" s="322"/>
      <c r="N83" s="323"/>
      <c r="O83" s="324"/>
      <c r="P83" s="325"/>
      <c r="Q83" s="274"/>
      <c r="R83" s="274"/>
      <c r="S83" s="326"/>
      <c r="T83" s="326"/>
      <c r="U83" s="326"/>
      <c r="V83" s="38"/>
      <c r="W83" s="315"/>
    </row>
    <row r="84" spans="1:23" s="288" customFormat="1" ht="16.5" thickBot="1">
      <c r="A84" s="327"/>
      <c r="B84" s="328" t="s">
        <v>101</v>
      </c>
      <c r="C84" s="329" t="s">
        <v>102</v>
      </c>
      <c r="D84" s="411">
        <v>132</v>
      </c>
      <c r="E84" s="412"/>
      <c r="F84" s="412"/>
      <c r="G84" s="412"/>
      <c r="H84" s="412"/>
      <c r="I84" s="412"/>
      <c r="J84" s="413">
        <v>132</v>
      </c>
      <c r="K84" s="414"/>
      <c r="L84" s="414"/>
      <c r="M84" s="414"/>
      <c r="N84" s="414"/>
      <c r="O84" s="415"/>
      <c r="P84" s="425">
        <f>J84/D84-1</f>
        <v>0</v>
      </c>
      <c r="Q84" s="425"/>
      <c r="R84" s="425"/>
      <c r="S84" s="425"/>
      <c r="T84" s="425"/>
      <c r="U84" s="426"/>
      <c r="V84" s="39"/>
      <c r="W84" s="315"/>
    </row>
    <row r="85" spans="1:23" s="288" customFormat="1" ht="41.25" customHeight="1">
      <c r="A85" s="330"/>
      <c r="B85" s="331" t="s">
        <v>103</v>
      </c>
      <c r="C85" s="332" t="s">
        <v>88</v>
      </c>
      <c r="D85" s="420">
        <f>D38/132/12*1000</f>
        <v>53784.090909090904</v>
      </c>
      <c r="E85" s="421"/>
      <c r="F85" s="421"/>
      <c r="G85" s="421"/>
      <c r="H85" s="421"/>
      <c r="I85" s="421"/>
      <c r="J85" s="422">
        <f>J38/132/12*1000</f>
        <v>72884.75494605335</v>
      </c>
      <c r="K85" s="423"/>
      <c r="L85" s="423"/>
      <c r="M85" s="423"/>
      <c r="N85" s="423"/>
      <c r="O85" s="424"/>
      <c r="P85" s="425">
        <f>J85/D85-1</f>
        <v>0.35513594659892145</v>
      </c>
      <c r="Q85" s="425"/>
      <c r="R85" s="425"/>
      <c r="S85" s="425"/>
      <c r="T85" s="425"/>
      <c r="U85" s="426"/>
      <c r="V85" s="28" t="s">
        <v>117</v>
      </c>
      <c r="W85" s="315"/>
    </row>
    <row r="86" spans="1:23" s="288" customFormat="1" ht="16.5" thickBot="1">
      <c r="A86" s="333"/>
      <c r="B86" s="334" t="s">
        <v>104</v>
      </c>
      <c r="C86" s="335" t="s">
        <v>105</v>
      </c>
      <c r="D86" s="336"/>
      <c r="E86" s="337">
        <v>48.69</v>
      </c>
      <c r="F86" s="337">
        <v>48.69</v>
      </c>
      <c r="G86" s="337">
        <v>48.88</v>
      </c>
      <c r="H86" s="337">
        <v>48.91</v>
      </c>
      <c r="I86" s="338">
        <v>48.94</v>
      </c>
      <c r="J86" s="336"/>
      <c r="K86" s="337">
        <f>K30/K69</f>
        <v>63.9034001738263</v>
      </c>
      <c r="L86" s="337">
        <f>L30/L69</f>
        <v>63.903400173826306</v>
      </c>
      <c r="M86" s="337">
        <v>0</v>
      </c>
      <c r="N86" s="337">
        <f>N30/N69</f>
        <v>63.903400173826306</v>
      </c>
      <c r="O86" s="337">
        <f>O30/O69</f>
        <v>63.90340017382631</v>
      </c>
      <c r="P86" s="339"/>
      <c r="Q86" s="339">
        <f>K86/E86-1</f>
        <v>0.31245430630162874</v>
      </c>
      <c r="R86" s="339">
        <f>L86/F86-1</f>
        <v>0.31245430630162896</v>
      </c>
      <c r="S86" s="339">
        <f>M86/G86-1</f>
        <v>-1</v>
      </c>
      <c r="T86" s="339">
        <f>N86/H86-1</f>
        <v>0.3065508111598101</v>
      </c>
      <c r="U86" s="340">
        <f>O86/I86-1</f>
        <v>0.3057499013859075</v>
      </c>
      <c r="V86" s="349"/>
      <c r="W86" s="315"/>
    </row>
    <row r="87" spans="1:23" s="288" customFormat="1" ht="50.25" customHeight="1">
      <c r="A87" s="341"/>
      <c r="B87" s="341"/>
      <c r="C87" s="8"/>
      <c r="D87" s="341"/>
      <c r="E87" s="341"/>
      <c r="F87" s="341"/>
      <c r="G87" s="8"/>
      <c r="H87" s="341"/>
      <c r="I87" s="8"/>
      <c r="J87" s="342"/>
      <c r="K87" s="342"/>
      <c r="L87" s="342"/>
      <c r="M87" s="342"/>
      <c r="N87" s="342"/>
      <c r="O87" s="342"/>
      <c r="P87" s="341"/>
      <c r="Q87" s="341"/>
      <c r="R87" s="341"/>
      <c r="S87" s="341"/>
      <c r="T87" s="341"/>
      <c r="U87" s="341"/>
      <c r="V87" s="343"/>
      <c r="W87" s="315"/>
    </row>
    <row r="88" spans="1:22" ht="23.25" customHeight="1">
      <c r="A88" s="93" t="s">
        <v>115</v>
      </c>
      <c r="B88" s="93"/>
      <c r="C88" s="93"/>
      <c r="D88" s="93"/>
      <c r="E88" s="93"/>
      <c r="F88" s="93"/>
      <c r="G88" s="8"/>
      <c r="H88" s="8"/>
      <c r="I88" s="8"/>
      <c r="J88" s="8"/>
      <c r="K88" s="8"/>
      <c r="L88" s="8"/>
      <c r="M88" s="8"/>
      <c r="N88" s="8"/>
      <c r="O88" s="8"/>
      <c r="P88" s="344"/>
      <c r="Q88" s="345"/>
      <c r="R88" s="346"/>
      <c r="S88" s="8"/>
      <c r="T88" s="8"/>
      <c r="U88" s="347"/>
      <c r="V88" s="7"/>
    </row>
    <row r="89" spans="1:21" ht="15.75">
      <c r="A89" s="94" t="s">
        <v>202</v>
      </c>
      <c r="B89" s="94"/>
      <c r="C89" s="94"/>
      <c r="D89" s="95"/>
      <c r="E89" s="95"/>
      <c r="F89" s="95"/>
      <c r="G89" s="5"/>
      <c r="H89" s="5"/>
      <c r="I89" s="5"/>
      <c r="J89" s="5"/>
      <c r="K89" s="5"/>
      <c r="L89" s="5"/>
      <c r="M89" s="5"/>
      <c r="N89" s="5"/>
      <c r="O89" s="5"/>
      <c r="P89" s="348"/>
      <c r="Q89" s="348"/>
      <c r="R89" s="95"/>
      <c r="S89" s="5"/>
      <c r="T89" s="5"/>
      <c r="U89" s="13"/>
    </row>
    <row r="90" spans="1:21" ht="15.75">
      <c r="A90" s="94" t="s">
        <v>203</v>
      </c>
      <c r="B90" s="94"/>
      <c r="C90" s="95"/>
      <c r="D90" s="95"/>
      <c r="E90" s="95"/>
      <c r="F90" s="95"/>
      <c r="H90" s="5"/>
      <c r="I90" s="5"/>
      <c r="J90" s="5"/>
      <c r="K90" s="5"/>
      <c r="L90" s="5"/>
      <c r="M90" s="5"/>
      <c r="N90" s="5"/>
      <c r="O90" s="5"/>
      <c r="P90" s="95"/>
      <c r="Q90" s="95"/>
      <c r="R90" s="95"/>
      <c r="S90" s="5"/>
      <c r="T90" s="5"/>
      <c r="U90" s="13"/>
    </row>
    <row r="91" spans="1:21" ht="15.75">
      <c r="A91" s="94" t="s">
        <v>204</v>
      </c>
      <c r="B91" s="94"/>
      <c r="C91" s="94"/>
      <c r="D91" s="95"/>
      <c r="E91" s="95"/>
      <c r="F91" s="95"/>
      <c r="G91" s="5"/>
      <c r="H91" s="5"/>
      <c r="I91" s="5"/>
      <c r="J91" s="5"/>
      <c r="K91" s="5"/>
      <c r="L91" s="5"/>
      <c r="M91" s="5"/>
      <c r="N91" s="5"/>
      <c r="O91" s="5"/>
      <c r="P91" s="95"/>
      <c r="Q91" s="95"/>
      <c r="R91" s="95"/>
      <c r="S91" s="5"/>
      <c r="T91" s="5"/>
      <c r="U91" s="13"/>
    </row>
    <row r="92" spans="1:21" ht="15.75">
      <c r="A92" s="94" t="s">
        <v>206</v>
      </c>
      <c r="B92" s="94"/>
      <c r="C92" s="94"/>
      <c r="D92" s="95"/>
      <c r="E92" s="95"/>
      <c r="F92" s="95"/>
      <c r="G92" s="5"/>
      <c r="H92" s="5"/>
      <c r="I92" s="5"/>
      <c r="J92" s="5"/>
      <c r="K92" s="5"/>
      <c r="L92" s="5"/>
      <c r="M92" s="5"/>
      <c r="N92" s="5"/>
      <c r="O92" s="5"/>
      <c r="P92" s="95"/>
      <c r="Q92" s="95"/>
      <c r="R92" s="95"/>
      <c r="S92" s="5"/>
      <c r="T92" s="5"/>
      <c r="U92" s="13"/>
    </row>
    <row r="93" spans="1:21" ht="15.75">
      <c r="A93" s="94"/>
      <c r="B93" s="94"/>
      <c r="C93" s="94"/>
      <c r="D93" s="95"/>
      <c r="E93" s="95"/>
      <c r="F93" s="95"/>
      <c r="G93" s="5"/>
      <c r="H93" s="5"/>
      <c r="I93" s="5"/>
      <c r="J93" s="5"/>
      <c r="K93" s="5"/>
      <c r="L93" s="5"/>
      <c r="M93" s="5"/>
      <c r="N93" s="5"/>
      <c r="O93" s="5"/>
      <c r="P93" s="95"/>
      <c r="Q93" s="95"/>
      <c r="R93" s="95"/>
      <c r="S93" s="5"/>
      <c r="T93" s="5"/>
      <c r="U93" s="13"/>
    </row>
    <row r="94" spans="1:21" ht="15.75">
      <c r="A94" s="95" t="s">
        <v>136</v>
      </c>
      <c r="B94" s="95"/>
      <c r="C94" s="95"/>
      <c r="D94" s="95"/>
      <c r="E94" s="95"/>
      <c r="F94" s="95"/>
      <c r="G94" s="5"/>
      <c r="H94" s="5"/>
      <c r="I94" s="5"/>
      <c r="J94" s="5"/>
      <c r="K94" s="5"/>
      <c r="L94" s="5"/>
      <c r="M94" s="5"/>
      <c r="N94" s="5"/>
      <c r="O94" s="5"/>
      <c r="P94" s="95"/>
      <c r="Q94" s="95"/>
      <c r="R94" s="95"/>
      <c r="S94" s="5"/>
      <c r="T94" s="5"/>
      <c r="U94" s="13"/>
    </row>
    <row r="95" spans="1:21" ht="15.75">
      <c r="A95" s="94"/>
      <c r="B95" s="94"/>
      <c r="C95" s="94"/>
      <c r="D95" s="95"/>
      <c r="E95" s="95"/>
      <c r="F95" s="95"/>
      <c r="G95" s="5"/>
      <c r="H95" s="5"/>
      <c r="I95" s="5"/>
      <c r="J95" s="5"/>
      <c r="K95" s="5"/>
      <c r="L95" s="5"/>
      <c r="M95" s="5"/>
      <c r="N95" s="5"/>
      <c r="O95" s="5"/>
      <c r="P95" s="95"/>
      <c r="Q95" s="95"/>
      <c r="R95" s="95"/>
      <c r="S95" s="5"/>
      <c r="T95" s="5"/>
      <c r="U95" s="13"/>
    </row>
    <row r="96" spans="1:21" ht="15.75">
      <c r="A96" s="94" t="s">
        <v>207</v>
      </c>
      <c r="B96" s="94"/>
      <c r="C96" s="94"/>
      <c r="D96" s="95"/>
      <c r="E96" s="95"/>
      <c r="F96" s="95"/>
      <c r="G96" s="5"/>
      <c r="H96" s="5"/>
      <c r="I96" s="5"/>
      <c r="J96" s="5"/>
      <c r="K96" s="5"/>
      <c r="L96" s="5"/>
      <c r="M96" s="5"/>
      <c r="N96" s="5"/>
      <c r="O96" s="5"/>
      <c r="P96" s="95"/>
      <c r="Q96" s="95"/>
      <c r="R96" s="95"/>
      <c r="S96" s="5"/>
      <c r="T96" s="5"/>
      <c r="U96" s="13"/>
    </row>
    <row r="97" spans="1:21" ht="34.5" customHeight="1">
      <c r="A97" s="94" t="s">
        <v>116</v>
      </c>
      <c r="B97" s="94"/>
      <c r="C97" s="94"/>
      <c r="D97" s="95"/>
      <c r="E97" s="95"/>
      <c r="F97" s="95"/>
      <c r="H97" s="5"/>
      <c r="I97" s="5"/>
      <c r="J97" s="5"/>
      <c r="K97" s="5"/>
      <c r="L97" s="5"/>
      <c r="M97" s="5"/>
      <c r="N97" s="5"/>
      <c r="O97" s="5"/>
      <c r="P97" s="95"/>
      <c r="Q97" s="95"/>
      <c r="R97" s="95"/>
      <c r="S97" s="13"/>
      <c r="T97" s="13"/>
      <c r="U97" s="13"/>
    </row>
    <row r="98" spans="8:18" ht="15.75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8:18" ht="15.75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8:18" ht="15.75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ht="15" outlineLevel="1"/>
    <row r="102" ht="15" outlineLevel="1"/>
    <row r="103" ht="15" outlineLevel="1"/>
    <row r="104" ht="15" outlineLevel="1"/>
    <row r="105" ht="12.75" customHeight="1" outlineLevel="1"/>
    <row r="106" ht="15" outlineLevel="1"/>
    <row r="107" ht="15" outlineLevel="1">
      <c r="J107" s="6"/>
    </row>
    <row r="108" spans="10:12" ht="15" outlineLevel="1">
      <c r="J108" s="6"/>
      <c r="L108" s="12"/>
    </row>
    <row r="109" spans="10:12" ht="15" outlineLevel="1">
      <c r="J109" s="6"/>
      <c r="L109" s="12"/>
    </row>
    <row r="110" ht="15" outlineLevel="1">
      <c r="J110" s="6"/>
    </row>
    <row r="111" spans="10:12" ht="15" outlineLevel="1">
      <c r="J111" s="6"/>
      <c r="L111" s="12"/>
    </row>
    <row r="112" spans="10:12" ht="15" outlineLevel="1">
      <c r="J112" s="6"/>
      <c r="L112" s="12"/>
    </row>
    <row r="113" spans="10:12" ht="15" outlineLevel="1">
      <c r="J113" s="6"/>
      <c r="L113" s="12"/>
    </row>
    <row r="114" ht="15" outlineLevel="1">
      <c r="J114" s="6"/>
    </row>
  </sheetData>
  <sheetProtection/>
  <mergeCells count="55">
    <mergeCell ref="D85:I85"/>
    <mergeCell ref="J85:O85"/>
    <mergeCell ref="P84:U84"/>
    <mergeCell ref="P85:U85"/>
    <mergeCell ref="A76:A82"/>
    <mergeCell ref="C76:C82"/>
    <mergeCell ref="A72:A75"/>
    <mergeCell ref="D83:I83"/>
    <mergeCell ref="D84:I84"/>
    <mergeCell ref="J84:O84"/>
    <mergeCell ref="V80:V82"/>
    <mergeCell ref="V76:V78"/>
    <mergeCell ref="A16:A20"/>
    <mergeCell ref="B16:B20"/>
    <mergeCell ref="C16:C20"/>
    <mergeCell ref="A53:A57"/>
    <mergeCell ref="A32:A33"/>
    <mergeCell ref="A36:A37"/>
    <mergeCell ref="A41:A42"/>
    <mergeCell ref="A45:A46"/>
    <mergeCell ref="D16:I16"/>
    <mergeCell ref="G19:G20"/>
    <mergeCell ref="H19:I19"/>
    <mergeCell ref="J16:O16"/>
    <mergeCell ref="P17:P20"/>
    <mergeCell ref="S19:S20"/>
    <mergeCell ref="D17:D20"/>
    <mergeCell ref="E17:F19"/>
    <mergeCell ref="G17:I18"/>
    <mergeCell ref="J17:J20"/>
    <mergeCell ref="K17:L19"/>
    <mergeCell ref="M17:O18"/>
    <mergeCell ref="M19:M20"/>
    <mergeCell ref="N19:O19"/>
    <mergeCell ref="N15:O15"/>
    <mergeCell ref="L6:O6"/>
    <mergeCell ref="P16:U16"/>
    <mergeCell ref="V16:V20"/>
    <mergeCell ref="Q18:R19"/>
    <mergeCell ref="S18:U18"/>
    <mergeCell ref="Q17:U17"/>
    <mergeCell ref="T19:U19"/>
    <mergeCell ref="K1:O1"/>
    <mergeCell ref="K2:O2"/>
    <mergeCell ref="K3:O3"/>
    <mergeCell ref="K4:O4"/>
    <mergeCell ref="K5:O5"/>
    <mergeCell ref="B8:O8"/>
    <mergeCell ref="B6:G6"/>
    <mergeCell ref="Q3:V3"/>
    <mergeCell ref="Q4:V4"/>
    <mergeCell ref="Q5:V5"/>
    <mergeCell ref="Q6:V6"/>
    <mergeCell ref="Q1:V1"/>
    <mergeCell ref="Q2:V2"/>
  </mergeCells>
  <printOptions/>
  <pageMargins left="0" right="0" top="0.3937007874015748" bottom="0" header="0.5118110236220472" footer="0.5118110236220472"/>
  <pageSetup fitToHeight="8" fitToWidth="7" horizontalDpi="600" verticalDpi="600" orientation="landscape" paperSize="9" scale="45" r:id="rId1"/>
  <rowBreaks count="2" manualBreakCount="2">
    <brk id="40" max="21" man="1"/>
    <brk id="75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97"/>
  <sheetViews>
    <sheetView tabSelected="1" zoomScale="94" zoomScaleNormal="94" zoomScalePageLayoutView="0" workbookViewId="0" topLeftCell="A6">
      <selection activeCell="B26" sqref="B26"/>
    </sheetView>
  </sheetViews>
  <sheetFormatPr defaultColWidth="9.00390625" defaultRowHeight="12.75" outlineLevelRow="1"/>
  <cols>
    <col min="1" max="1" width="5.25390625" style="87" customWidth="1"/>
    <col min="2" max="2" width="38.375" style="41" customWidth="1"/>
    <col min="3" max="3" width="11.375" style="41" customWidth="1"/>
    <col min="4" max="4" width="17.375" style="41" customWidth="1"/>
    <col min="5" max="5" width="16.375" style="41" customWidth="1"/>
    <col min="6" max="6" width="15.125" style="41" customWidth="1"/>
    <col min="7" max="7" width="46.625" style="41" customWidth="1"/>
    <col min="8" max="8" width="9.125" style="41" customWidth="1"/>
    <col min="9" max="9" width="7.00390625" style="41" customWidth="1"/>
    <col min="10" max="27" width="9.125" style="41" hidden="1" customWidth="1"/>
    <col min="28" max="16384" width="9.125" style="41" customWidth="1"/>
  </cols>
  <sheetData>
    <row r="1" spans="6:10" ht="15.75">
      <c r="F1" s="360" t="s">
        <v>118</v>
      </c>
      <c r="G1" s="360"/>
      <c r="H1" s="88"/>
      <c r="I1" s="88"/>
      <c r="J1" s="88"/>
    </row>
    <row r="2" spans="1:10" ht="15.75">
      <c r="A2" s="14"/>
      <c r="F2" s="360" t="s">
        <v>119</v>
      </c>
      <c r="G2" s="360"/>
      <c r="H2" s="88"/>
      <c r="I2" s="88"/>
      <c r="J2" s="88"/>
    </row>
    <row r="3" spans="1:10" ht="15.75">
      <c r="A3" s="14"/>
      <c r="F3" s="360" t="s">
        <v>109</v>
      </c>
      <c r="G3" s="360"/>
      <c r="H3" s="88"/>
      <c r="I3" s="88"/>
      <c r="J3" s="88"/>
    </row>
    <row r="4" spans="1:10" ht="15.75">
      <c r="A4" s="14"/>
      <c r="F4" s="360" t="s">
        <v>111</v>
      </c>
      <c r="G4" s="360"/>
      <c r="H4" s="88"/>
      <c r="I4" s="88"/>
      <c r="J4" s="88"/>
    </row>
    <row r="5" spans="6:10" ht="15.75">
      <c r="F5" s="361" t="s">
        <v>110</v>
      </c>
      <c r="G5" s="361"/>
      <c r="H5" s="89"/>
      <c r="I5" s="89"/>
      <c r="J5" s="89"/>
    </row>
    <row r="6" spans="6:7" ht="15" customHeight="1">
      <c r="F6" s="360" t="s">
        <v>137</v>
      </c>
      <c r="G6" s="360"/>
    </row>
    <row r="7" ht="15.75">
      <c r="G7" s="40"/>
    </row>
    <row r="8" spans="2:4" ht="15.75">
      <c r="B8" s="439"/>
      <c r="C8" s="439"/>
      <c r="D8" s="439"/>
    </row>
    <row r="10" spans="1:7" ht="54" customHeight="1">
      <c r="A10" s="436" t="s">
        <v>196</v>
      </c>
      <c r="B10" s="436"/>
      <c r="C10" s="436"/>
      <c r="D10" s="436"/>
      <c r="E10" s="436"/>
      <c r="F10" s="436"/>
      <c r="G10" s="436"/>
    </row>
    <row r="11" ht="13.5" customHeight="1">
      <c r="A11" s="41"/>
    </row>
    <row r="12" spans="1:4" ht="15.75">
      <c r="A12" s="41"/>
      <c r="B12" s="91" t="s">
        <v>201</v>
      </c>
      <c r="C12" s="18"/>
      <c r="D12" s="17"/>
    </row>
    <row r="13" spans="1:4" ht="15.75">
      <c r="A13" s="41"/>
      <c r="B13" s="91" t="s">
        <v>139</v>
      </c>
      <c r="C13" s="18"/>
      <c r="D13" s="17"/>
    </row>
    <row r="14" spans="1:4" ht="15.75">
      <c r="A14" s="41"/>
      <c r="B14" s="91" t="s">
        <v>142</v>
      </c>
      <c r="C14" s="18"/>
      <c r="D14" s="17"/>
    </row>
    <row r="15" spans="1:4" ht="15.75">
      <c r="A15" s="41"/>
      <c r="B15" s="91" t="s">
        <v>140</v>
      </c>
      <c r="C15" s="18"/>
      <c r="D15" s="17"/>
    </row>
    <row r="16" spans="1:11" ht="15.75">
      <c r="A16" s="41"/>
      <c r="B16" s="91" t="s">
        <v>143</v>
      </c>
      <c r="C16" s="18"/>
      <c r="D16" s="88"/>
      <c r="E16" s="104"/>
      <c r="F16" s="104"/>
      <c r="G16" s="104"/>
      <c r="H16" s="104"/>
      <c r="I16" s="104"/>
      <c r="J16" s="104"/>
      <c r="K16" s="104"/>
    </row>
    <row r="17" spans="1:11" ht="15.75">
      <c r="A17" s="41"/>
      <c r="B17" s="91" t="s">
        <v>144</v>
      </c>
      <c r="C17" s="18"/>
      <c r="D17" s="88"/>
      <c r="E17" s="104"/>
      <c r="F17" s="104"/>
      <c r="G17" s="104"/>
      <c r="H17" s="104"/>
      <c r="I17" s="104"/>
      <c r="J17" s="104"/>
      <c r="K17" s="104"/>
    </row>
    <row r="18" spans="2:5" ht="15.75">
      <c r="B18" s="19" t="s">
        <v>114</v>
      </c>
      <c r="C18" s="92"/>
      <c r="D18" s="42"/>
      <c r="E18" s="43"/>
    </row>
    <row r="19" spans="2:7" ht="15.75">
      <c r="B19" s="19"/>
      <c r="C19" s="92"/>
      <c r="D19" s="42"/>
      <c r="E19" s="43"/>
      <c r="G19" s="40"/>
    </row>
    <row r="20" spans="1:7" ht="12.75" customHeight="1">
      <c r="A20" s="437" t="s">
        <v>0</v>
      </c>
      <c r="B20" s="438" t="s">
        <v>145</v>
      </c>
      <c r="C20" s="442" t="s">
        <v>146</v>
      </c>
      <c r="D20" s="443" t="s">
        <v>197</v>
      </c>
      <c r="E20" s="443" t="s">
        <v>198</v>
      </c>
      <c r="F20" s="438" t="s">
        <v>147</v>
      </c>
      <c r="G20" s="438" t="s">
        <v>200</v>
      </c>
    </row>
    <row r="21" spans="1:7" ht="14.25" customHeight="1">
      <c r="A21" s="440"/>
      <c r="B21" s="442"/>
      <c r="C21" s="442"/>
      <c r="D21" s="444"/>
      <c r="E21" s="445"/>
      <c r="F21" s="446"/>
      <c r="G21" s="438"/>
    </row>
    <row r="22" spans="1:7" ht="66.75" customHeight="1">
      <c r="A22" s="441"/>
      <c r="B22" s="442"/>
      <c r="C22" s="442"/>
      <c r="D22" s="444"/>
      <c r="E22" s="445"/>
      <c r="F22" s="446"/>
      <c r="G22" s="438"/>
    </row>
    <row r="23" spans="1:7" ht="15.75">
      <c r="A23" s="44">
        <v>1</v>
      </c>
      <c r="B23" s="45">
        <v>2</v>
      </c>
      <c r="C23" s="45">
        <v>3</v>
      </c>
      <c r="D23" s="46">
        <v>4</v>
      </c>
      <c r="E23" s="46">
        <v>5</v>
      </c>
      <c r="F23" s="45">
        <v>6</v>
      </c>
      <c r="G23" s="45">
        <v>7</v>
      </c>
    </row>
    <row r="24" spans="1:7" ht="30" customHeight="1">
      <c r="A24" s="44" t="s">
        <v>12</v>
      </c>
      <c r="B24" s="47" t="s">
        <v>148</v>
      </c>
      <c r="C24" s="48" t="s">
        <v>65</v>
      </c>
      <c r="D24" s="49">
        <f>D26</f>
        <v>3189639.02629</v>
      </c>
      <c r="E24" s="49">
        <f>E26</f>
        <v>2971372.9359624097</v>
      </c>
      <c r="F24" s="51">
        <f>E24/D24-1</f>
        <v>-0.06842971525259534</v>
      </c>
      <c r="G24" s="48"/>
    </row>
    <row r="25" spans="1:7" ht="15.75">
      <c r="A25" s="44"/>
      <c r="B25" s="48" t="s">
        <v>75</v>
      </c>
      <c r="C25" s="48"/>
      <c r="D25" s="50"/>
      <c r="E25" s="50"/>
      <c r="F25" s="51"/>
      <c r="G25" s="48"/>
    </row>
    <row r="26" spans="1:7" ht="15.75">
      <c r="A26" s="44">
        <v>1</v>
      </c>
      <c r="B26" s="52" t="s">
        <v>15</v>
      </c>
      <c r="C26" s="48" t="s">
        <v>65</v>
      </c>
      <c r="D26" s="49">
        <f>D28:D28+D29</f>
        <v>3189639.02629</v>
      </c>
      <c r="E26" s="49">
        <f>E28:E28+E29</f>
        <v>2971372.9359624097</v>
      </c>
      <c r="F26" s="51">
        <f>E26/D26-1</f>
        <v>-0.06842971525259534</v>
      </c>
      <c r="G26" s="48"/>
    </row>
    <row r="27" spans="1:7" ht="15.75">
      <c r="A27" s="44"/>
      <c r="B27" s="48" t="s">
        <v>75</v>
      </c>
      <c r="C27" s="48"/>
      <c r="D27" s="50"/>
      <c r="E27" s="50"/>
      <c r="F27" s="53"/>
      <c r="G27" s="48"/>
    </row>
    <row r="28" spans="1:7" ht="57.75" customHeight="1">
      <c r="A28" s="54" t="s">
        <v>1</v>
      </c>
      <c r="B28" s="55" t="s">
        <v>17</v>
      </c>
      <c r="C28" s="55" t="s">
        <v>65</v>
      </c>
      <c r="D28" s="56">
        <f>'[2]Испол ТС с 1.07.16 (Коррект.ТС)'!$DD$10+1.4</f>
        <v>1679936.97673</v>
      </c>
      <c r="E28" s="56">
        <f>'[2]Испол ТС с 1.07.16 (Коррект.ТС)'!$DE$10</f>
        <v>1562135.58646409</v>
      </c>
      <c r="F28" s="57">
        <f>E28/D28-1</f>
        <v>-0.07012250572352452</v>
      </c>
      <c r="G28" s="55" t="s">
        <v>149</v>
      </c>
    </row>
    <row r="29" spans="1:7" ht="31.5">
      <c r="A29" s="54" t="s">
        <v>2</v>
      </c>
      <c r="B29" s="55" t="s">
        <v>18</v>
      </c>
      <c r="C29" s="55" t="s">
        <v>65</v>
      </c>
      <c r="D29" s="56">
        <f>'[2]Испол ТС с 1.07.16 (Коррект.ТС)'!$DD$11+1.4</f>
        <v>1509702.04956</v>
      </c>
      <c r="E29" s="56">
        <f>'[2]Испол ТС с 1.07.16 (Коррект.ТС)'!$DE$11</f>
        <v>1409237.3494983197</v>
      </c>
      <c r="F29" s="58">
        <f>E29/D29-1</f>
        <v>-0.0665460446920374</v>
      </c>
      <c r="G29" s="55" t="s">
        <v>149</v>
      </c>
    </row>
    <row r="30" spans="1:7" ht="15.75">
      <c r="A30" s="44" t="s">
        <v>19</v>
      </c>
      <c r="B30" s="52" t="s">
        <v>5</v>
      </c>
      <c r="C30" s="48" t="s">
        <v>65</v>
      </c>
      <c r="D30" s="49">
        <f>D32+D35+D39+D40+D45+0.5</f>
        <v>51807.66666666667</v>
      </c>
      <c r="E30" s="49">
        <f>E32+E35+E39+E40+E45</f>
        <v>70463.703479474</v>
      </c>
      <c r="F30" s="59">
        <f>E30/D30-1</f>
        <v>0.36010185389821325</v>
      </c>
      <c r="G30" s="60"/>
    </row>
    <row r="31" spans="1:7" ht="15.75">
      <c r="A31" s="44"/>
      <c r="B31" s="48" t="s">
        <v>75</v>
      </c>
      <c r="C31" s="48"/>
      <c r="D31" s="50"/>
      <c r="E31" s="50"/>
      <c r="F31" s="53"/>
      <c r="G31" s="60"/>
    </row>
    <row r="32" spans="1:7" ht="15.75">
      <c r="A32" s="44">
        <v>2</v>
      </c>
      <c r="B32" s="52" t="s">
        <v>20</v>
      </c>
      <c r="C32" s="48" t="s">
        <v>65</v>
      </c>
      <c r="D32" s="49">
        <f>'[2]Испол ТС с 1.07.16 (Коррект.ТС)'!$DD$14</f>
        <v>3186</v>
      </c>
      <c r="E32" s="49">
        <f>'[2]Испол ТС с 1.07.16 (Коррект.ТС)'!$DE$14</f>
        <v>4062.0217856011004</v>
      </c>
      <c r="F32" s="59">
        <f>E32/D32-1</f>
        <v>0.2749597569369431</v>
      </c>
      <c r="G32" s="61"/>
    </row>
    <row r="33" spans="1:7" ht="15.75">
      <c r="A33" s="44"/>
      <c r="B33" s="48" t="s">
        <v>75</v>
      </c>
      <c r="C33" s="48"/>
      <c r="D33" s="50"/>
      <c r="E33" s="50"/>
      <c r="F33" s="53"/>
      <c r="G33" s="61"/>
    </row>
    <row r="34" spans="1:7" ht="141.75">
      <c r="A34" s="45" t="s">
        <v>3</v>
      </c>
      <c r="B34" s="48" t="s">
        <v>150</v>
      </c>
      <c r="C34" s="48"/>
      <c r="D34" s="50">
        <f>'[2]Испол ТС с 1.07.16 (Коррект.ТС)'!$DD$16</f>
        <v>3186</v>
      </c>
      <c r="E34" s="50">
        <f>'[2]Испол ТС с 1.07.16 (Коррект.ТС)'!$DE$16</f>
        <v>4062.0217856011004</v>
      </c>
      <c r="F34" s="62">
        <f>E34/D34-1</f>
        <v>0.2749597569369431</v>
      </c>
      <c r="G34" s="61" t="s">
        <v>151</v>
      </c>
    </row>
    <row r="35" spans="1:7" ht="15.75">
      <c r="A35" s="44">
        <v>3</v>
      </c>
      <c r="B35" s="52" t="s">
        <v>22</v>
      </c>
      <c r="C35" s="48" t="s">
        <v>65</v>
      </c>
      <c r="D35" s="49">
        <f>D37+D38</f>
        <v>34161.66666666667</v>
      </c>
      <c r="E35" s="49">
        <f>E37+E38</f>
        <v>47227.65761271971</v>
      </c>
      <c r="F35" s="59">
        <f>E35/D35-1</f>
        <v>0.3824752191848477</v>
      </c>
      <c r="G35" s="60"/>
    </row>
    <row r="36" spans="1:7" ht="15.75">
      <c r="A36" s="44"/>
      <c r="B36" s="48" t="s">
        <v>75</v>
      </c>
      <c r="C36" s="48"/>
      <c r="D36" s="50"/>
      <c r="E36" s="50"/>
      <c r="F36" s="53"/>
      <c r="G36" s="60"/>
    </row>
    <row r="37" spans="1:7" ht="63">
      <c r="A37" s="45" t="s">
        <v>23</v>
      </c>
      <c r="B37" s="48" t="s">
        <v>24</v>
      </c>
      <c r="C37" s="63" t="s">
        <v>152</v>
      </c>
      <c r="D37" s="50">
        <f>'[2]Испол ТС с 1.07.16 (Коррект.ТС)'!$DD$19</f>
        <v>31085.000000000004</v>
      </c>
      <c r="E37" s="50">
        <f>'[2]Испол ТС с 1.07.16 (Коррект.ТС)'!$DE$19</f>
        <v>42841.91964104759</v>
      </c>
      <c r="F37" s="62">
        <f>E37/D37-1</f>
        <v>0.378218421780524</v>
      </c>
      <c r="G37" s="64" t="s">
        <v>153</v>
      </c>
    </row>
    <row r="38" spans="1:7" ht="15.75">
      <c r="A38" s="45" t="s">
        <v>25</v>
      </c>
      <c r="B38" s="60" t="s">
        <v>154</v>
      </c>
      <c r="C38" s="63" t="s">
        <v>152</v>
      </c>
      <c r="D38" s="50">
        <f>'[2]Испол ТС с 1.07.16 (Коррект.ТС)'!$DD$20</f>
        <v>3076.666666666667</v>
      </c>
      <c r="E38" s="50">
        <f>'[2]Испол ТС с 1.07.16 (Коррект.ТС)'!$DE$20</f>
        <v>4385.737971672116</v>
      </c>
      <c r="F38" s="53">
        <f>E38/D38-1</f>
        <v>0.42548363109602905</v>
      </c>
      <c r="G38" s="60"/>
    </row>
    <row r="39" spans="1:7" ht="15.75">
      <c r="A39" s="44">
        <v>4</v>
      </c>
      <c r="B39" s="52" t="s">
        <v>27</v>
      </c>
      <c r="C39" s="48" t="s">
        <v>65</v>
      </c>
      <c r="D39" s="49">
        <f>'[2]Испол ТС с 1.07.16 (Коррект.ТС)'!$DD$22</f>
        <v>590.5</v>
      </c>
      <c r="E39" s="49">
        <f>'[2]Испол ТС с 1.07.16 (Коррект.ТС)'!$DE$22</f>
        <v>562.6977253325527</v>
      </c>
      <c r="F39" s="51">
        <f>E39/D39-1</f>
        <v>-0.047082598928784525</v>
      </c>
      <c r="G39" s="60" t="s">
        <v>155</v>
      </c>
    </row>
    <row r="40" spans="1:7" ht="15.75">
      <c r="A40" s="44">
        <v>5</v>
      </c>
      <c r="B40" s="52" t="s">
        <v>6</v>
      </c>
      <c r="C40" s="48" t="s">
        <v>65</v>
      </c>
      <c r="D40" s="49">
        <f>D42+D43+D44</f>
        <v>2063.0000000000005</v>
      </c>
      <c r="E40" s="49">
        <f>E42+E43+E44</f>
        <v>2878.58155</v>
      </c>
      <c r="F40" s="51">
        <f>E40/D40-1</f>
        <v>0.39533763936015465</v>
      </c>
      <c r="G40" s="60"/>
    </row>
    <row r="41" spans="1:7" ht="15.75">
      <c r="A41" s="44"/>
      <c r="B41" s="48" t="s">
        <v>75</v>
      </c>
      <c r="C41" s="48"/>
      <c r="D41" s="50"/>
      <c r="E41" s="50"/>
      <c r="F41" s="53"/>
      <c r="G41" s="60"/>
    </row>
    <row r="42" spans="1:7" ht="63">
      <c r="A42" s="45" t="s">
        <v>28</v>
      </c>
      <c r="B42" s="48" t="s">
        <v>156</v>
      </c>
      <c r="C42" s="63" t="s">
        <v>152</v>
      </c>
      <c r="D42" s="50">
        <f>'[2]Испол ТС с 1.07.16 (Коррект.ТС)'!$DD$25</f>
        <v>1967.0000000000002</v>
      </c>
      <c r="E42" s="50">
        <f>'[2]Испол ТС с 1.07.16 (Коррект.ТС)'!$DE$25</f>
        <v>2768.6227</v>
      </c>
      <c r="F42" s="62">
        <f>E42/D42-1</f>
        <v>0.40753568886629354</v>
      </c>
      <c r="G42" s="64" t="s">
        <v>157</v>
      </c>
    </row>
    <row r="43" spans="1:7" ht="31.5">
      <c r="A43" s="45" t="s">
        <v>67</v>
      </c>
      <c r="B43" s="60" t="s">
        <v>158</v>
      </c>
      <c r="C43" s="63" t="s">
        <v>152</v>
      </c>
      <c r="D43" s="50">
        <f>'[2]Испол ТС с 1.07.16 (Коррект.ТС)'!$DD$26</f>
        <v>52.99999999999999</v>
      </c>
      <c r="E43" s="50">
        <f>'[2]Испол ТС с 1.07.16 (Коррект.ТС)'!$DE$26</f>
        <v>57.75885</v>
      </c>
      <c r="F43" s="62">
        <f>E43/D43-1</f>
        <v>0.08978962264150958</v>
      </c>
      <c r="G43" s="60"/>
    </row>
    <row r="44" spans="1:7" ht="63">
      <c r="A44" s="45" t="s">
        <v>159</v>
      </c>
      <c r="B44" s="48" t="s">
        <v>160</v>
      </c>
      <c r="C44" s="63" t="s">
        <v>152</v>
      </c>
      <c r="D44" s="50">
        <f>'[2]Испол ТС с 1.07.16 (Коррект.ТС)'!$DD$27</f>
        <v>43.00000000000001</v>
      </c>
      <c r="E44" s="65">
        <f>'[2]Испол ТС с 1.07.16 (Коррект.ТС)'!$DE$27</f>
        <v>52.20000000000001</v>
      </c>
      <c r="F44" s="62">
        <f>E44/D44-1</f>
        <v>0.21395348837209305</v>
      </c>
      <c r="G44" s="64" t="s">
        <v>161</v>
      </c>
    </row>
    <row r="45" spans="1:7" ht="15.75">
      <c r="A45" s="44">
        <v>6</v>
      </c>
      <c r="B45" s="52" t="s">
        <v>30</v>
      </c>
      <c r="C45" s="48"/>
      <c r="D45" s="49">
        <f>SUM(D47:D59)</f>
        <v>11806</v>
      </c>
      <c r="E45" s="49">
        <f>SUM(E47:E59)</f>
        <v>15732.744805820643</v>
      </c>
      <c r="F45" s="51">
        <f>E45/D45-1</f>
        <v>0.33260586191941743</v>
      </c>
      <c r="G45" s="60"/>
    </row>
    <row r="46" spans="1:7" ht="15.75">
      <c r="A46" s="44"/>
      <c r="B46" s="48" t="s">
        <v>75</v>
      </c>
      <c r="C46" s="48"/>
      <c r="D46" s="50"/>
      <c r="E46" s="50"/>
      <c r="F46" s="53"/>
      <c r="G46" s="60"/>
    </row>
    <row r="47" spans="1:7" ht="69.75" customHeight="1">
      <c r="A47" s="45" t="s">
        <v>31</v>
      </c>
      <c r="B47" s="48" t="s">
        <v>162</v>
      </c>
      <c r="C47" s="63" t="s">
        <v>152</v>
      </c>
      <c r="D47" s="50">
        <f>'[2]Испол ТС с 1.07.16 (Коррект.ТС)'!$DD$30</f>
        <v>1377</v>
      </c>
      <c r="E47" s="65">
        <f>'[2]Испол ТС с 1.07.16 (Коррект.ТС)'!$DE$30</f>
        <v>2778.942763828</v>
      </c>
      <c r="F47" s="62">
        <f aca="true" t="shared" si="0" ref="F47:F58">E47/D47-1</f>
        <v>1.0181138444647786</v>
      </c>
      <c r="G47" s="64" t="s">
        <v>163</v>
      </c>
    </row>
    <row r="48" spans="1:7" ht="69.75" customHeight="1">
      <c r="A48" s="45" t="s">
        <v>32</v>
      </c>
      <c r="B48" s="48" t="s">
        <v>164</v>
      </c>
      <c r="C48" s="63" t="s">
        <v>152</v>
      </c>
      <c r="D48" s="50">
        <f>'[2]Испол ТС с 1.07.16 (Коррект.ТС)'!$DD$31</f>
        <v>6540.999999999999</v>
      </c>
      <c r="E48" s="65">
        <f>'[2]Испол ТС с 1.07.16 (Коррект.ТС)'!$DE$31</f>
        <v>8368.782869692</v>
      </c>
      <c r="F48" s="62">
        <f t="shared" si="0"/>
        <v>0.27943477598104294</v>
      </c>
      <c r="G48" s="64" t="s">
        <v>157</v>
      </c>
    </row>
    <row r="49" spans="1:7" ht="15.75">
      <c r="A49" s="45" t="s">
        <v>34</v>
      </c>
      <c r="B49" s="48" t="s">
        <v>35</v>
      </c>
      <c r="C49" s="63" t="s">
        <v>152</v>
      </c>
      <c r="D49" s="66">
        <f>'[2]Испол ТС с 1.07.16 (Коррект.ТС)'!$DD$32</f>
        <v>530.0000000000001</v>
      </c>
      <c r="E49" s="67">
        <f>'[2]Испол ТС с 1.07.16 (Коррект.ТС)'!$DE$32+11.6</f>
        <v>501.16079203999993</v>
      </c>
      <c r="F49" s="447">
        <f t="shared" si="0"/>
        <v>-0.054413599924528655</v>
      </c>
      <c r="G49" s="64" t="s">
        <v>141</v>
      </c>
    </row>
    <row r="50" spans="1:7" ht="50.25" customHeight="1">
      <c r="A50" s="45" t="s">
        <v>36</v>
      </c>
      <c r="B50" s="48" t="s">
        <v>165</v>
      </c>
      <c r="C50" s="63" t="s">
        <v>152</v>
      </c>
      <c r="D50" s="50">
        <f>'[2]Испол ТС с 1.07.16 (Коррект.ТС)'!$DD$33</f>
        <v>1404</v>
      </c>
      <c r="E50" s="65">
        <f>'[2]Испол ТС с 1.07.16 (Коррект.ТС)'!$DE$33</f>
        <v>1770.2504076129405</v>
      </c>
      <c r="F50" s="53">
        <f t="shared" si="0"/>
        <v>0.2608621136844307</v>
      </c>
      <c r="G50" s="60" t="s">
        <v>166</v>
      </c>
    </row>
    <row r="51" spans="1:7" ht="15.75">
      <c r="A51" s="45" t="s">
        <v>37</v>
      </c>
      <c r="B51" s="48" t="s">
        <v>8</v>
      </c>
      <c r="C51" s="63" t="s">
        <v>152</v>
      </c>
      <c r="D51" s="50">
        <f>'[2]Испол ТС с 1.07.16 (Коррект.ТС)'!$DD$34</f>
        <v>16</v>
      </c>
      <c r="E51" s="65">
        <f>'[2]Испол ТС с 1.07.16 (Коррект.ТС)'!$DE$34</f>
        <v>15.29833</v>
      </c>
      <c r="F51" s="53">
        <f t="shared" si="0"/>
        <v>-0.043854375</v>
      </c>
      <c r="G51" s="64" t="s">
        <v>141</v>
      </c>
    </row>
    <row r="52" spans="1:7" ht="31.5">
      <c r="A52" s="45" t="s">
        <v>38</v>
      </c>
      <c r="B52" s="60" t="s">
        <v>167</v>
      </c>
      <c r="C52" s="63" t="s">
        <v>152</v>
      </c>
      <c r="D52" s="50">
        <f>'[2]Испол ТС с 1.07.16 (Коррект.ТС)'!$DD$35</f>
        <v>891</v>
      </c>
      <c r="E52" s="65">
        <f>'[2]Испол ТС с 1.07.16 (Коррект.ТС)'!$DE$35</f>
        <v>1006.7032030514433</v>
      </c>
      <c r="F52" s="62">
        <f t="shared" si="0"/>
        <v>0.1298576914157612</v>
      </c>
      <c r="G52" s="48"/>
    </row>
    <row r="53" spans="1:7" ht="15.75">
      <c r="A53" s="45" t="s">
        <v>41</v>
      </c>
      <c r="B53" s="48" t="s">
        <v>40</v>
      </c>
      <c r="C53" s="63" t="s">
        <v>152</v>
      </c>
      <c r="D53" s="50">
        <f>'[2]Испол ТС с 1.07.16 (Коррект.ТС)'!$DD$36</f>
        <v>96.99999999999999</v>
      </c>
      <c r="E53" s="50">
        <f>'[2]Испол ТС с 1.07.16 (Коррект.ТС)'!$DE$36</f>
        <v>96.74826958400001</v>
      </c>
      <c r="F53" s="62">
        <f t="shared" si="0"/>
        <v>-0.0025951589278347953</v>
      </c>
      <c r="G53" s="48"/>
    </row>
    <row r="54" spans="1:7" ht="15.75">
      <c r="A54" s="45" t="s">
        <v>43</v>
      </c>
      <c r="B54" s="48" t="s">
        <v>168</v>
      </c>
      <c r="C54" s="63" t="s">
        <v>152</v>
      </c>
      <c r="D54" s="50">
        <f>'[2]Испол ТС с 1.07.16 (Коррект.ТС)'!$DD$37</f>
        <v>45</v>
      </c>
      <c r="E54" s="66">
        <f>'[2]Испол ТС с 1.07.16 (Коррект.ТС)'!$DE$37+0.6</f>
        <v>42.6291</v>
      </c>
      <c r="F54" s="62">
        <f t="shared" si="0"/>
        <v>-0.05268666666666666</v>
      </c>
      <c r="G54" s="64" t="s">
        <v>141</v>
      </c>
    </row>
    <row r="55" spans="1:7" ht="27.75" customHeight="1">
      <c r="A55" s="45" t="s">
        <v>66</v>
      </c>
      <c r="B55" s="60" t="s">
        <v>45</v>
      </c>
      <c r="C55" s="63" t="s">
        <v>152</v>
      </c>
      <c r="D55" s="50">
        <f>'[2]Испол ТС с 1.07.16 (Коррект.ТС)'!$DD$38</f>
        <v>80</v>
      </c>
      <c r="E55" s="50">
        <f>'[2]Испол ТС с 1.07.16 (Коррект.ТС)'!$DE$38</f>
        <v>75.63392999999999</v>
      </c>
      <c r="F55" s="62">
        <f t="shared" si="0"/>
        <v>-0.05457587500000005</v>
      </c>
      <c r="G55" s="64" t="s">
        <v>141</v>
      </c>
    </row>
    <row r="56" spans="1:7" ht="15.75">
      <c r="A56" s="45" t="s">
        <v>46</v>
      </c>
      <c r="B56" s="48" t="s">
        <v>47</v>
      </c>
      <c r="C56" s="63" t="s">
        <v>152</v>
      </c>
      <c r="D56" s="50">
        <f>'[2]Испол ТС с 1.07.16 (Коррект.ТС)'!$DD$39</f>
        <v>180</v>
      </c>
      <c r="E56" s="50">
        <f>'[2]Испол ТС с 1.07.16 (Коррект.ТС)'!$DE$39</f>
        <v>176.47068</v>
      </c>
      <c r="F56" s="62">
        <f t="shared" si="0"/>
        <v>-0.01960733333333342</v>
      </c>
      <c r="G56" s="64" t="s">
        <v>141</v>
      </c>
    </row>
    <row r="57" spans="1:7" ht="15.75">
      <c r="A57" s="45" t="s">
        <v>61</v>
      </c>
      <c r="B57" s="48" t="s">
        <v>169</v>
      </c>
      <c r="C57" s="63" t="s">
        <v>152</v>
      </c>
      <c r="D57" s="50">
        <f>'[2]Испол ТС с 1.07.16 (Коррект.ТС)'!$DD$40</f>
        <v>265.99999999999994</v>
      </c>
      <c r="E57" s="50">
        <f>'[2]Испол ТС с 1.07.16 (Коррект.ТС)'!$DE$40</f>
        <v>514.0377600122578</v>
      </c>
      <c r="F57" s="62">
        <f t="shared" si="0"/>
        <v>0.9324727820009695</v>
      </c>
      <c r="G57" s="48"/>
    </row>
    <row r="58" spans="1:7" ht="15.75">
      <c r="A58" s="45" t="s">
        <v>48</v>
      </c>
      <c r="B58" s="48" t="s">
        <v>170</v>
      </c>
      <c r="C58" s="63" t="s">
        <v>152</v>
      </c>
      <c r="D58" s="50">
        <f>'[2]Испол ТС с 1.07.16 (Коррект.ТС)'!$DD$41</f>
        <v>374.00000000000006</v>
      </c>
      <c r="E58" s="50">
        <f>'[2]Испол ТС с 1.07.16 (Коррект.ТС)'!$DE$41</f>
        <v>380.4854400000001</v>
      </c>
      <c r="F58" s="53">
        <f t="shared" si="0"/>
        <v>0.017340748663101646</v>
      </c>
      <c r="G58" s="48"/>
    </row>
    <row r="59" spans="1:7" ht="15.75">
      <c r="A59" s="45" t="s">
        <v>171</v>
      </c>
      <c r="B59" s="48" t="s">
        <v>172</v>
      </c>
      <c r="C59" s="63" t="s">
        <v>152</v>
      </c>
      <c r="D59" s="50">
        <f>'[2]Испол ТС с 1.07.16 (Коррект.ТС)'!$DD$42</f>
        <v>5</v>
      </c>
      <c r="E59" s="65">
        <f>'[2]Испол ТС с 1.07.16 (Коррект.ТС)'!$DE$42</f>
        <v>5.60126</v>
      </c>
      <c r="F59" s="53">
        <v>-0.053</v>
      </c>
      <c r="G59" s="64" t="s">
        <v>141</v>
      </c>
    </row>
    <row r="60" spans="1:7" ht="15.75">
      <c r="A60" s="44" t="s">
        <v>49</v>
      </c>
      <c r="B60" s="52" t="s">
        <v>69</v>
      </c>
      <c r="C60" s="48" t="s">
        <v>65</v>
      </c>
      <c r="D60" s="49">
        <f>D24+D30</f>
        <v>3241446.6929566665</v>
      </c>
      <c r="E60" s="49">
        <f>E24+E30</f>
        <v>3041836.6394418837</v>
      </c>
      <c r="F60" s="53">
        <f>E60/D60-1</f>
        <v>-0.061580544868596876</v>
      </c>
      <c r="G60" s="48"/>
    </row>
    <row r="61" spans="1:7" ht="47.25">
      <c r="A61" s="44" t="s">
        <v>50</v>
      </c>
      <c r="B61" s="52" t="s">
        <v>173</v>
      </c>
      <c r="C61" s="48" t="s">
        <v>65</v>
      </c>
      <c r="D61" s="50">
        <f>'[2]Испол ТС с 1.07.16 (Коррект.ТС)'!$DD$45</f>
        <v>92.00000000000001</v>
      </c>
      <c r="E61" s="50">
        <v>-83283</v>
      </c>
      <c r="F61" s="53">
        <f>E61/D61-1</f>
        <v>-906.2499999999999</v>
      </c>
      <c r="G61" s="64" t="s">
        <v>174</v>
      </c>
    </row>
    <row r="62" spans="1:7" ht="31.5">
      <c r="A62" s="44" t="s">
        <v>52</v>
      </c>
      <c r="B62" s="47" t="s">
        <v>120</v>
      </c>
      <c r="C62" s="48" t="s">
        <v>65</v>
      </c>
      <c r="D62" s="50">
        <v>2035</v>
      </c>
      <c r="E62" s="50">
        <f>'[3]ОС'!$E$8/1000+'[3]ОС'!$E$10/1000</f>
        <v>2275.6609000000003</v>
      </c>
      <c r="F62" s="53">
        <f>E62/D62-1</f>
        <v>0.11826088452088457</v>
      </c>
      <c r="G62" s="64"/>
    </row>
    <row r="63" spans="1:7" ht="28.5" customHeight="1">
      <c r="A63" s="44" t="s">
        <v>54</v>
      </c>
      <c r="B63" s="52" t="s">
        <v>53</v>
      </c>
      <c r="C63" s="48" t="s">
        <v>65</v>
      </c>
      <c r="D63" s="49">
        <f>D60+D61</f>
        <v>3241538.6929566665</v>
      </c>
      <c r="E63" s="49">
        <f>'[2]Испол ТС с 1.07.16 (Коррект.ТС)'!$DE$46</f>
        <v>2958554.1236449</v>
      </c>
      <c r="F63" s="53">
        <f>E63/D63-1</f>
        <v>-0.08729945748500412</v>
      </c>
      <c r="G63" s="48"/>
    </row>
    <row r="64" spans="1:7" ht="31.5">
      <c r="A64" s="44" t="s">
        <v>55</v>
      </c>
      <c r="B64" s="47" t="s">
        <v>56</v>
      </c>
      <c r="C64" s="48" t="s">
        <v>175</v>
      </c>
      <c r="D64" s="68">
        <f>'[2]Испол ТС с 1.07.16 (Коррект.ТС)'!$DD$48</f>
        <v>925.039</v>
      </c>
      <c r="E64" s="69">
        <f>E66+E67</f>
        <v>869.654074</v>
      </c>
      <c r="F64" s="53">
        <f>E64/D64-1</f>
        <v>-0.059873071297534386</v>
      </c>
      <c r="G64" s="48" t="s">
        <v>176</v>
      </c>
    </row>
    <row r="65" spans="1:7" ht="15.75">
      <c r="A65" s="44"/>
      <c r="B65" s="60" t="s">
        <v>14</v>
      </c>
      <c r="C65" s="48"/>
      <c r="D65" s="68"/>
      <c r="E65" s="69"/>
      <c r="F65" s="53"/>
      <c r="G65" s="48"/>
    </row>
    <row r="66" spans="1:7" ht="15.75" customHeight="1">
      <c r="A66" s="44"/>
      <c r="B66" s="52" t="s">
        <v>177</v>
      </c>
      <c r="C66" s="48" t="s">
        <v>175</v>
      </c>
      <c r="D66" s="69">
        <f>'[2]Испол ТС с 1.07.16 (Коррект.ТС)'!$DD$49</f>
        <v>682.262</v>
      </c>
      <c r="E66" s="69">
        <f>'[2]Испол ТС с 1.07.16 (Коррект.ТС)'!$DE$49</f>
        <v>645.61851</v>
      </c>
      <c r="F66" s="53">
        <f>E66/D66-1</f>
        <v>-0.05370882446919212</v>
      </c>
      <c r="G66" s="448" t="s">
        <v>178</v>
      </c>
    </row>
    <row r="67" spans="1:7" ht="84.75" customHeight="1">
      <c r="A67" s="70"/>
      <c r="B67" s="71" t="s">
        <v>179</v>
      </c>
      <c r="C67" s="48" t="s">
        <v>175</v>
      </c>
      <c r="D67" s="72">
        <v>242.777</v>
      </c>
      <c r="E67" s="73">
        <f>'[2]Испол ТС с 1.07.16 (Коррект.ТС)'!$DE$53</f>
        <v>224.03556400000002</v>
      </c>
      <c r="F67" s="53">
        <f>E67/D67-1</f>
        <v>-0.0771960935343956</v>
      </c>
      <c r="G67" s="448"/>
    </row>
    <row r="68" spans="1:7" ht="47.25">
      <c r="A68" s="44" t="s">
        <v>63</v>
      </c>
      <c r="B68" s="52" t="s">
        <v>180</v>
      </c>
      <c r="C68" s="48" t="s">
        <v>105</v>
      </c>
      <c r="D68" s="74">
        <f>D63/D64</f>
        <v>3504.2184091229306</v>
      </c>
      <c r="E68" s="68">
        <f>E63/E64</f>
        <v>3401.989609543185</v>
      </c>
      <c r="F68" s="53">
        <f>E68/D68-1</f>
        <v>-0.029173067327539215</v>
      </c>
      <c r="G68" s="75" t="s">
        <v>181</v>
      </c>
    </row>
    <row r="69" spans="1:7" ht="15.75">
      <c r="A69" s="431"/>
      <c r="B69" s="48" t="s">
        <v>14</v>
      </c>
      <c r="C69" s="48"/>
      <c r="D69" s="74"/>
      <c r="E69" s="68"/>
      <c r="F69" s="53"/>
      <c r="G69" s="75"/>
    </row>
    <row r="70" spans="1:7" ht="15.75">
      <c r="A70" s="431"/>
      <c r="B70" s="52" t="s">
        <v>182</v>
      </c>
      <c r="C70" s="48" t="s">
        <v>105</v>
      </c>
      <c r="D70" s="74">
        <v>2130.99</v>
      </c>
      <c r="E70" s="68">
        <f>'[1]г.Экибастуз продолж.'!$Y$10</f>
        <v>2078.3013567977628</v>
      </c>
      <c r="F70" s="53"/>
      <c r="G70" s="75"/>
    </row>
    <row r="71" spans="1:7" ht="15.75">
      <c r="A71" s="431"/>
      <c r="B71" s="52" t="s">
        <v>183</v>
      </c>
      <c r="C71" s="48" t="s">
        <v>105</v>
      </c>
      <c r="D71" s="74">
        <v>7363.33</v>
      </c>
      <c r="E71" s="68">
        <f>'[1]г.Экибастуз продолж.'!$Y$34</f>
        <v>7216.552003940546</v>
      </c>
      <c r="F71" s="53"/>
      <c r="G71" s="75"/>
    </row>
    <row r="72" spans="1:7" ht="63">
      <c r="A72" s="431"/>
      <c r="B72" s="76" t="s">
        <v>95</v>
      </c>
      <c r="C72" s="48" t="s">
        <v>105</v>
      </c>
      <c r="D72" s="74">
        <v>1065.5</v>
      </c>
      <c r="E72" s="68">
        <f>D72</f>
        <v>1065.5</v>
      </c>
      <c r="F72" s="53"/>
      <c r="G72" s="75"/>
    </row>
    <row r="73" spans="1:7" ht="63">
      <c r="A73" s="431"/>
      <c r="B73" s="76" t="s">
        <v>96</v>
      </c>
      <c r="C73" s="48" t="s">
        <v>105</v>
      </c>
      <c r="D73" s="74">
        <v>2159.75</v>
      </c>
      <c r="E73" s="68">
        <f>D73</f>
        <v>2159.75</v>
      </c>
      <c r="F73" s="53"/>
      <c r="G73" s="75"/>
    </row>
    <row r="74" spans="1:7" ht="118.5" customHeight="1">
      <c r="A74" s="431"/>
      <c r="B74" s="76" t="s">
        <v>97</v>
      </c>
      <c r="C74" s="48" t="s">
        <v>105</v>
      </c>
      <c r="D74" s="74">
        <v>2130.99</v>
      </c>
      <c r="E74" s="68">
        <f>D74</f>
        <v>2130.99</v>
      </c>
      <c r="F74" s="53"/>
      <c r="G74" s="75"/>
    </row>
    <row r="75" spans="1:7" ht="47.25">
      <c r="A75" s="431"/>
      <c r="B75" s="52" t="s">
        <v>184</v>
      </c>
      <c r="C75" s="48" t="s">
        <v>105</v>
      </c>
      <c r="D75" s="74">
        <v>7363.33</v>
      </c>
      <c r="E75" s="68">
        <f>E71</f>
        <v>7216.552003940546</v>
      </c>
      <c r="F75" s="53"/>
      <c r="G75" s="75" t="s">
        <v>181</v>
      </c>
    </row>
    <row r="76" spans="1:7" ht="15.75">
      <c r="A76" s="432"/>
      <c r="B76" s="48" t="s">
        <v>87</v>
      </c>
      <c r="C76" s="48"/>
      <c r="D76" s="74"/>
      <c r="E76" s="68"/>
      <c r="F76" s="53"/>
      <c r="G76" s="75"/>
    </row>
    <row r="77" spans="1:7" ht="15.75">
      <c r="A77" s="433"/>
      <c r="B77" s="60" t="s">
        <v>185</v>
      </c>
      <c r="C77" s="48" t="s">
        <v>186</v>
      </c>
      <c r="D77" s="50">
        <v>50</v>
      </c>
      <c r="E77" s="50">
        <v>50</v>
      </c>
      <c r="F77" s="77"/>
      <c r="G77" s="48"/>
    </row>
    <row r="78" spans="1:7" ht="31.5" outlineLevel="1">
      <c r="A78" s="434"/>
      <c r="B78" s="60" t="s">
        <v>187</v>
      </c>
      <c r="C78" s="48"/>
      <c r="D78" s="50">
        <f>D37/D77/12*1000</f>
        <v>51808.333333333336</v>
      </c>
      <c r="E78" s="50">
        <f>E37/E77/12*1000</f>
        <v>71403.199401746</v>
      </c>
      <c r="F78" s="53"/>
      <c r="G78" s="60" t="s">
        <v>188</v>
      </c>
    </row>
    <row r="79" spans="2:108" ht="15.75"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5"/>
      <c r="W79" s="435"/>
      <c r="X79" s="435"/>
      <c r="Y79" s="435"/>
      <c r="Z79" s="435"/>
      <c r="AA79" s="435"/>
      <c r="AB79" s="435"/>
      <c r="AC79" s="435"/>
      <c r="AD79" s="435"/>
      <c r="AE79" s="435"/>
      <c r="AF79" s="435"/>
      <c r="AG79" s="435"/>
      <c r="AH79" s="435"/>
      <c r="AI79" s="435"/>
      <c r="AJ79" s="435"/>
      <c r="AK79" s="435"/>
      <c r="AL79" s="435"/>
      <c r="AM79" s="435"/>
      <c r="AN79" s="435"/>
      <c r="AO79" s="435"/>
      <c r="AP79" s="435"/>
      <c r="AQ79" s="435"/>
      <c r="AR79" s="435"/>
      <c r="AS79" s="435"/>
      <c r="AT79" s="435"/>
      <c r="AU79" s="435"/>
      <c r="AV79" s="435"/>
      <c r="AW79" s="435"/>
      <c r="AX79" s="435"/>
      <c r="AY79" s="435"/>
      <c r="AZ79" s="435"/>
      <c r="BA79" s="435"/>
      <c r="BB79" s="435"/>
      <c r="BC79" s="435"/>
      <c r="BD79" s="435"/>
      <c r="BE79" s="435"/>
      <c r="BF79" s="435"/>
      <c r="BG79" s="435"/>
      <c r="BH79" s="435"/>
      <c r="BI79" s="435"/>
      <c r="BJ79" s="435"/>
      <c r="BK79" s="435"/>
      <c r="BL79" s="435"/>
      <c r="BM79" s="435"/>
      <c r="BN79" s="435"/>
      <c r="BO79" s="435"/>
      <c r="BP79" s="435"/>
      <c r="BQ79" s="435"/>
      <c r="BR79" s="435"/>
      <c r="BS79" s="435"/>
      <c r="BT79" s="435"/>
      <c r="BU79" s="435"/>
      <c r="BV79" s="435"/>
      <c r="BW79" s="435"/>
      <c r="BX79" s="435"/>
      <c r="BY79" s="435"/>
      <c r="BZ79" s="435"/>
      <c r="CA79" s="435"/>
      <c r="CB79" s="435"/>
      <c r="CC79" s="435"/>
      <c r="CD79" s="435"/>
      <c r="CE79" s="435"/>
      <c r="CF79" s="435"/>
      <c r="CG79" s="435"/>
      <c r="CH79" s="435"/>
      <c r="CI79" s="435"/>
      <c r="CJ79" s="435"/>
      <c r="CK79" s="435"/>
      <c r="CL79" s="435"/>
      <c r="CM79" s="435"/>
      <c r="CN79" s="435"/>
      <c r="CO79" s="435"/>
      <c r="CP79" s="435"/>
      <c r="CQ79" s="435"/>
      <c r="CR79" s="435"/>
      <c r="CS79" s="435"/>
      <c r="CT79" s="435"/>
      <c r="CU79" s="435"/>
      <c r="CV79" s="435"/>
      <c r="CW79" s="435"/>
      <c r="CX79" s="435"/>
      <c r="CY79" s="435"/>
      <c r="CZ79" s="435"/>
      <c r="DA79" s="435"/>
      <c r="DB79" s="435"/>
      <c r="DC79" s="435"/>
      <c r="DD79" s="435"/>
    </row>
    <row r="80" spans="2:108" ht="15.75">
      <c r="B80" s="93" t="s">
        <v>115</v>
      </c>
      <c r="C80" s="93"/>
      <c r="D80" s="93"/>
      <c r="E80" s="8"/>
      <c r="F80" s="8"/>
      <c r="G80" s="80"/>
      <c r="H80" s="80"/>
      <c r="I80" s="80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80"/>
      <c r="AM80" s="80"/>
      <c r="AN80" s="80"/>
      <c r="AO80" s="80"/>
      <c r="AP80" s="79"/>
      <c r="AQ80" s="79"/>
      <c r="AR80" s="79"/>
      <c r="AS80" s="79"/>
      <c r="AT80" s="78"/>
      <c r="AU80" s="78"/>
      <c r="AV80" s="78"/>
      <c r="AW80" s="78"/>
      <c r="AX80" s="79"/>
      <c r="AY80" s="79"/>
      <c r="AZ80" s="79"/>
      <c r="BA80" s="79"/>
      <c r="BB80" s="78"/>
      <c r="BC80" s="79"/>
      <c r="BD80" s="79"/>
      <c r="BE80" s="79"/>
      <c r="BF80" s="81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8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82"/>
      <c r="CU80" s="79"/>
      <c r="CV80" s="79"/>
      <c r="CW80" s="78"/>
      <c r="CX80" s="78"/>
      <c r="CY80" s="79"/>
      <c r="CZ80" s="79"/>
      <c r="DA80" s="79"/>
      <c r="DB80" s="78"/>
      <c r="DC80" s="79"/>
      <c r="DD80" s="79"/>
    </row>
    <row r="81" spans="2:108" ht="15.75">
      <c r="B81" s="94" t="s">
        <v>202</v>
      </c>
      <c r="C81" s="94"/>
      <c r="D81" s="94"/>
      <c r="E81" s="5"/>
      <c r="F81" s="5"/>
      <c r="G81" s="80"/>
      <c r="H81" s="80"/>
      <c r="I81" s="80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80"/>
      <c r="AM81" s="80"/>
      <c r="AN81" s="80"/>
      <c r="AO81" s="80"/>
      <c r="AP81" s="79"/>
      <c r="AQ81" s="79"/>
      <c r="AR81" s="79"/>
      <c r="AS81" s="79"/>
      <c r="AT81" s="78"/>
      <c r="AU81" s="78"/>
      <c r="AV81" s="78"/>
      <c r="AW81" s="78"/>
      <c r="AX81" s="79"/>
      <c r="AY81" s="79"/>
      <c r="AZ81" s="79"/>
      <c r="BA81" s="79"/>
      <c r="BB81" s="78"/>
      <c r="BC81" s="79"/>
      <c r="BD81" s="79"/>
      <c r="BE81" s="79"/>
      <c r="BF81" s="81"/>
      <c r="BG81" s="79"/>
      <c r="BH81" s="79"/>
      <c r="BI81" s="79"/>
      <c r="BJ81" s="79"/>
      <c r="BK81" s="80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8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82"/>
      <c r="CU81" s="79"/>
      <c r="CV81" s="79"/>
      <c r="CW81" s="78"/>
      <c r="CX81" s="78"/>
      <c r="CY81" s="79"/>
      <c r="CZ81" s="79"/>
      <c r="DA81" s="79"/>
      <c r="DB81" s="78"/>
      <c r="DC81" s="79"/>
      <c r="DD81" s="79"/>
    </row>
    <row r="82" spans="2:108" ht="15.75">
      <c r="B82" s="94" t="s">
        <v>203</v>
      </c>
      <c r="C82" s="94"/>
      <c r="D82" s="95"/>
      <c r="E82" s="5"/>
      <c r="F82" s="5"/>
      <c r="G82" s="80"/>
      <c r="H82" s="80"/>
      <c r="I82" s="80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80"/>
      <c r="AM82" s="80"/>
      <c r="AN82" s="80"/>
      <c r="AO82" s="80"/>
      <c r="AP82" s="79"/>
      <c r="AQ82" s="79"/>
      <c r="AR82" s="79"/>
      <c r="AS82" s="79"/>
      <c r="AT82" s="78"/>
      <c r="AU82" s="78"/>
      <c r="AV82" s="78"/>
      <c r="AW82" s="78"/>
      <c r="AX82" s="79"/>
      <c r="AY82" s="79"/>
      <c r="AZ82" s="79"/>
      <c r="BA82" s="79"/>
      <c r="BB82" s="78"/>
      <c r="BC82" s="79"/>
      <c r="BD82" s="79"/>
      <c r="BE82" s="79"/>
      <c r="BF82" s="81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8"/>
      <c r="BW82" s="79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82"/>
      <c r="CU82" s="79"/>
      <c r="CV82" s="79"/>
      <c r="CW82" s="78"/>
      <c r="CX82" s="78"/>
      <c r="CY82" s="79"/>
      <c r="CZ82" s="79"/>
      <c r="DA82" s="79"/>
      <c r="DB82" s="78"/>
      <c r="DC82" s="79"/>
      <c r="DD82" s="79"/>
    </row>
    <row r="83" spans="2:108" ht="15.75">
      <c r="B83" s="94" t="s">
        <v>204</v>
      </c>
      <c r="C83" s="94"/>
      <c r="D83" s="94"/>
      <c r="E83" s="5"/>
      <c r="F83" s="5"/>
      <c r="G83" s="80"/>
      <c r="H83" s="80"/>
      <c r="I83" s="80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80"/>
      <c r="AM83" s="80"/>
      <c r="AN83" s="80"/>
      <c r="AO83" s="80"/>
      <c r="AP83" s="79"/>
      <c r="AQ83" s="79"/>
      <c r="AR83" s="79"/>
      <c r="AS83" s="79"/>
      <c r="AT83" s="78"/>
      <c r="AU83" s="78"/>
      <c r="AV83" s="78"/>
      <c r="AW83" s="78"/>
      <c r="AX83" s="79"/>
      <c r="AY83" s="79"/>
      <c r="AZ83" s="79"/>
      <c r="BA83" s="79"/>
      <c r="BB83" s="78"/>
      <c r="BC83" s="79"/>
      <c r="BD83" s="79"/>
      <c r="BE83" s="79"/>
      <c r="BF83" s="81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8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82"/>
      <c r="CU83" s="79"/>
      <c r="CV83" s="79"/>
      <c r="CW83" s="78"/>
      <c r="CX83" s="78"/>
      <c r="CY83" s="79"/>
      <c r="CZ83" s="79"/>
      <c r="DA83" s="79"/>
      <c r="DB83" s="78"/>
      <c r="DC83" s="79"/>
      <c r="DD83" s="79"/>
    </row>
    <row r="84" spans="2:108" ht="15.75">
      <c r="B84" s="94" t="s">
        <v>205</v>
      </c>
      <c r="C84" s="94"/>
      <c r="D84" s="94"/>
      <c r="E84" s="5"/>
      <c r="F84" s="5"/>
      <c r="G84" s="80"/>
      <c r="H84" s="80"/>
      <c r="I84" s="80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80"/>
      <c r="AM84" s="80"/>
      <c r="AN84" s="80"/>
      <c r="AO84" s="80"/>
      <c r="AP84" s="79"/>
      <c r="AQ84" s="79"/>
      <c r="AR84" s="79"/>
      <c r="AS84" s="79"/>
      <c r="AT84" s="78"/>
      <c r="AU84" s="78"/>
      <c r="AV84" s="78"/>
      <c r="AW84" s="78"/>
      <c r="AX84" s="79"/>
      <c r="AY84" s="79"/>
      <c r="AZ84" s="79"/>
      <c r="BA84" s="79"/>
      <c r="BB84" s="78"/>
      <c r="BC84" s="79"/>
      <c r="BD84" s="79"/>
      <c r="BE84" s="79"/>
      <c r="BF84" s="81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8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82"/>
      <c r="CU84" s="79"/>
      <c r="CV84" s="79"/>
      <c r="CW84" s="78"/>
      <c r="CX84" s="78"/>
      <c r="CY84" s="79"/>
      <c r="CZ84" s="79"/>
      <c r="DA84" s="79"/>
      <c r="DB84" s="78"/>
      <c r="DC84" s="79"/>
      <c r="DD84" s="79"/>
    </row>
    <row r="85" spans="2:108" ht="15.75">
      <c r="B85" s="94"/>
      <c r="C85" s="94"/>
      <c r="D85" s="94"/>
      <c r="E85" s="5"/>
      <c r="F85" s="5"/>
      <c r="G85" s="80"/>
      <c r="H85" s="80"/>
      <c r="I85" s="80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80"/>
      <c r="AM85" s="80"/>
      <c r="AN85" s="80"/>
      <c r="AO85" s="80"/>
      <c r="AP85" s="79"/>
      <c r="AQ85" s="79"/>
      <c r="AR85" s="79"/>
      <c r="AS85" s="79"/>
      <c r="AT85" s="78"/>
      <c r="AU85" s="78"/>
      <c r="AV85" s="78"/>
      <c r="AW85" s="78"/>
      <c r="AX85" s="79"/>
      <c r="AY85" s="79"/>
      <c r="AZ85" s="79"/>
      <c r="BA85" s="79"/>
      <c r="BB85" s="78"/>
      <c r="BC85" s="79"/>
      <c r="BD85" s="79"/>
      <c r="BE85" s="79"/>
      <c r="BF85" s="81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8"/>
      <c r="BW85" s="79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82"/>
      <c r="CU85" s="79"/>
      <c r="CV85" s="79"/>
      <c r="CW85" s="78"/>
      <c r="CX85" s="78"/>
      <c r="CY85" s="79"/>
      <c r="CZ85" s="79"/>
      <c r="DA85" s="79"/>
      <c r="DB85" s="78"/>
      <c r="DC85" s="79"/>
      <c r="DD85" s="79"/>
    </row>
    <row r="86" spans="2:108" ht="15.75">
      <c r="B86" s="94"/>
      <c r="C86" s="94"/>
      <c r="D86" s="94"/>
      <c r="E86" s="5"/>
      <c r="F86" s="5"/>
      <c r="G86" s="80"/>
      <c r="H86" s="80"/>
      <c r="I86" s="80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80"/>
      <c r="AM86" s="80"/>
      <c r="AN86" s="80"/>
      <c r="AO86" s="80"/>
      <c r="AP86" s="79"/>
      <c r="AQ86" s="79"/>
      <c r="AR86" s="79"/>
      <c r="AS86" s="79"/>
      <c r="AT86" s="78"/>
      <c r="AU86" s="78"/>
      <c r="AV86" s="78"/>
      <c r="AW86" s="78"/>
      <c r="AX86" s="79"/>
      <c r="AY86" s="79"/>
      <c r="AZ86" s="79"/>
      <c r="BA86" s="79"/>
      <c r="BB86" s="78"/>
      <c r="BC86" s="79"/>
      <c r="BD86" s="79"/>
      <c r="BE86" s="79"/>
      <c r="BF86" s="81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8"/>
      <c r="BW86" s="79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82"/>
      <c r="CU86" s="79"/>
      <c r="CV86" s="79"/>
      <c r="CW86" s="78"/>
      <c r="CX86" s="78"/>
      <c r="CY86" s="79"/>
      <c r="CZ86" s="79"/>
      <c r="DA86" s="79"/>
      <c r="DB86" s="78"/>
      <c r="DC86" s="79"/>
      <c r="DD86" s="79"/>
    </row>
    <row r="87" spans="2:108" ht="15.75">
      <c r="B87" s="95" t="s">
        <v>189</v>
      </c>
      <c r="C87" s="95"/>
      <c r="D87" s="95"/>
      <c r="E87" s="5"/>
      <c r="F87" s="80"/>
      <c r="G87" s="80"/>
      <c r="H87" s="80"/>
      <c r="I87" s="80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80"/>
      <c r="AM87" s="80"/>
      <c r="AN87" s="80"/>
      <c r="AO87" s="80"/>
      <c r="AP87" s="79"/>
      <c r="AQ87" s="79"/>
      <c r="AR87" s="79"/>
      <c r="AS87" s="79"/>
      <c r="AT87" s="78"/>
      <c r="AU87" s="78"/>
      <c r="AV87" s="78"/>
      <c r="AW87" s="78"/>
      <c r="AX87" s="79"/>
      <c r="AY87" s="79"/>
      <c r="AZ87" s="79"/>
      <c r="BA87" s="79"/>
      <c r="BB87" s="78"/>
      <c r="BC87" s="79"/>
      <c r="BD87" s="79"/>
      <c r="BE87" s="79"/>
      <c r="BF87" s="81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8"/>
      <c r="BW87" s="79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82"/>
      <c r="CU87" s="79"/>
      <c r="CV87" s="79"/>
      <c r="CW87" s="78"/>
      <c r="CX87" s="78"/>
      <c r="CY87" s="79"/>
      <c r="CZ87" s="79"/>
      <c r="DA87" s="79"/>
      <c r="DB87" s="78"/>
      <c r="DC87" s="79"/>
      <c r="DD87" s="79"/>
    </row>
    <row r="88" spans="2:108" ht="15.75">
      <c r="B88" s="94"/>
      <c r="C88" s="94"/>
      <c r="D88" s="94"/>
      <c r="E88" s="5"/>
      <c r="F88" s="80"/>
      <c r="G88" s="80"/>
      <c r="H88" s="80"/>
      <c r="I88" s="80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80"/>
      <c r="AM88" s="80"/>
      <c r="AN88" s="80"/>
      <c r="AO88" s="80"/>
      <c r="AP88" s="79"/>
      <c r="AQ88" s="79"/>
      <c r="AR88" s="79"/>
      <c r="AS88" s="79"/>
      <c r="AT88" s="78"/>
      <c r="AU88" s="78"/>
      <c r="AV88" s="78"/>
      <c r="AW88" s="78"/>
      <c r="AX88" s="79"/>
      <c r="AY88" s="79"/>
      <c r="AZ88" s="79"/>
      <c r="BA88" s="79"/>
      <c r="BB88" s="78"/>
      <c r="BC88" s="79"/>
      <c r="BD88" s="79"/>
      <c r="BE88" s="79"/>
      <c r="BF88" s="81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8"/>
      <c r="BW88" s="79"/>
      <c r="BX88" s="79"/>
      <c r="BY88" s="79"/>
      <c r="BZ88" s="79"/>
      <c r="CA88" s="79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82"/>
      <c r="CU88" s="79"/>
      <c r="CV88" s="79"/>
      <c r="CW88" s="78"/>
      <c r="CX88" s="78"/>
      <c r="CY88" s="79"/>
      <c r="CZ88" s="79"/>
      <c r="DA88" s="79"/>
      <c r="DB88" s="78"/>
      <c r="DC88" s="79"/>
      <c r="DD88" s="79"/>
    </row>
    <row r="89" spans="2:108" ht="15.75">
      <c r="B89" s="94" t="s">
        <v>208</v>
      </c>
      <c r="C89" s="94"/>
      <c r="D89" s="94"/>
      <c r="E89" s="5"/>
      <c r="F89" s="80"/>
      <c r="G89" s="80"/>
      <c r="H89" s="80"/>
      <c r="I89" s="80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80"/>
      <c r="AM89" s="80"/>
      <c r="AN89" s="80"/>
      <c r="AO89" s="80"/>
      <c r="AP89" s="79"/>
      <c r="AQ89" s="79"/>
      <c r="AR89" s="79"/>
      <c r="AS89" s="79"/>
      <c r="AT89" s="78"/>
      <c r="AU89" s="78"/>
      <c r="AV89" s="78"/>
      <c r="AW89" s="78"/>
      <c r="AX89" s="79"/>
      <c r="AY89" s="79"/>
      <c r="AZ89" s="79"/>
      <c r="BA89" s="79"/>
      <c r="BB89" s="78"/>
      <c r="BC89" s="79"/>
      <c r="BD89" s="79"/>
      <c r="BE89" s="79"/>
      <c r="BF89" s="81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8"/>
      <c r="BW89" s="79"/>
      <c r="BX89" s="79"/>
      <c r="BY89" s="79"/>
      <c r="BZ89" s="79"/>
      <c r="CA89" s="79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82"/>
      <c r="CU89" s="79"/>
      <c r="CV89" s="79"/>
      <c r="CW89" s="78"/>
      <c r="CX89" s="78"/>
      <c r="CY89" s="79"/>
      <c r="CZ89" s="79"/>
      <c r="DA89" s="79"/>
      <c r="DB89" s="78"/>
      <c r="DC89" s="79"/>
      <c r="DD89" s="79"/>
    </row>
    <row r="90" spans="2:108" ht="15.75">
      <c r="B90" s="94" t="s">
        <v>116</v>
      </c>
      <c r="C90" s="94"/>
      <c r="D90" s="94"/>
      <c r="E90" s="5"/>
      <c r="F90" s="80"/>
      <c r="G90" s="83"/>
      <c r="H90" s="80"/>
      <c r="I90" s="80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80"/>
      <c r="AM90" s="80"/>
      <c r="AN90" s="80"/>
      <c r="AO90" s="80"/>
      <c r="AP90" s="79"/>
      <c r="AQ90" s="79"/>
      <c r="AR90" s="79"/>
      <c r="AS90" s="79"/>
      <c r="AT90" s="78"/>
      <c r="AU90" s="78"/>
      <c r="AV90" s="78"/>
      <c r="AW90" s="78"/>
      <c r="AX90" s="79"/>
      <c r="AY90" s="79"/>
      <c r="AZ90" s="79"/>
      <c r="BA90" s="79"/>
      <c r="BB90" s="78"/>
      <c r="BC90" s="79"/>
      <c r="BD90" s="79"/>
      <c r="BE90" s="79"/>
      <c r="BF90" s="81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8"/>
      <c r="BW90" s="79"/>
      <c r="BX90" s="79"/>
      <c r="BY90" s="79"/>
      <c r="BZ90" s="79"/>
      <c r="CA90" s="79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82"/>
      <c r="CU90" s="79"/>
      <c r="CV90" s="79"/>
      <c r="CW90" s="78"/>
      <c r="CX90" s="78"/>
      <c r="CY90" s="79"/>
      <c r="CZ90" s="79"/>
      <c r="DA90" s="79"/>
      <c r="DB90" s="78"/>
      <c r="DC90" s="79"/>
      <c r="DD90" s="79"/>
    </row>
    <row r="91" spans="2:108" ht="15.75">
      <c r="B91" s="96" t="s">
        <v>190</v>
      </c>
      <c r="C91" s="84"/>
      <c r="D91" s="85"/>
      <c r="E91" s="86">
        <f>'[4]г.Экибастуз продолж.2014г.'!$AB$29</f>
        <v>594761.35020959</v>
      </c>
      <c r="F91" s="80"/>
      <c r="G91" s="80"/>
      <c r="H91" s="80"/>
      <c r="I91" s="80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79"/>
      <c r="AC91" s="79"/>
      <c r="AD91" s="79"/>
      <c r="AE91" s="79"/>
      <c r="AF91" s="79"/>
      <c r="AG91" s="79"/>
      <c r="AH91" s="79"/>
      <c r="AI91" s="79"/>
      <c r="AJ91" s="79"/>
      <c r="AK91" s="79"/>
      <c r="AL91" s="80"/>
      <c r="AM91" s="80"/>
      <c r="AN91" s="80"/>
      <c r="AO91" s="80"/>
      <c r="AP91" s="79"/>
      <c r="AQ91" s="79"/>
      <c r="AR91" s="79"/>
      <c r="AS91" s="79"/>
      <c r="AT91" s="78"/>
      <c r="AU91" s="78"/>
      <c r="AV91" s="78"/>
      <c r="AW91" s="78"/>
      <c r="AX91" s="79"/>
      <c r="AY91" s="79"/>
      <c r="AZ91" s="79"/>
      <c r="BA91" s="79"/>
      <c r="BB91" s="78"/>
      <c r="BC91" s="79"/>
      <c r="BD91" s="79"/>
      <c r="BE91" s="79"/>
      <c r="BF91" s="81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8"/>
      <c r="BW91" s="79"/>
      <c r="BX91" s="79"/>
      <c r="BY91" s="79"/>
      <c r="BZ91" s="79"/>
      <c r="CA91" s="79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82"/>
      <c r="CU91" s="79"/>
      <c r="CV91" s="79"/>
      <c r="CW91" s="78"/>
      <c r="CX91" s="78"/>
      <c r="CY91" s="79"/>
      <c r="CZ91" s="79"/>
      <c r="DA91" s="79"/>
      <c r="DB91" s="78"/>
      <c r="DC91" s="79"/>
      <c r="DD91" s="79"/>
    </row>
    <row r="92" spans="2:108" ht="15.75">
      <c r="B92" s="97" t="s">
        <v>191</v>
      </c>
      <c r="C92" s="84"/>
      <c r="D92" s="85"/>
      <c r="E92" s="98">
        <f>E90+E91</f>
        <v>594761.35020959</v>
      </c>
      <c r="F92" s="80"/>
      <c r="G92" s="80"/>
      <c r="H92" s="80"/>
      <c r="I92" s="80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80"/>
      <c r="AM92" s="80"/>
      <c r="AN92" s="80"/>
      <c r="AO92" s="80"/>
      <c r="AP92" s="79"/>
      <c r="AQ92" s="79"/>
      <c r="AR92" s="79"/>
      <c r="AS92" s="79"/>
      <c r="AT92" s="78"/>
      <c r="AU92" s="78"/>
      <c r="AV92" s="78"/>
      <c r="AW92" s="78"/>
      <c r="AX92" s="79"/>
      <c r="AY92" s="79"/>
      <c r="AZ92" s="79"/>
      <c r="BA92" s="79"/>
      <c r="BB92" s="78"/>
      <c r="BC92" s="79"/>
      <c r="BD92" s="79"/>
      <c r="BE92" s="79"/>
      <c r="BF92" s="81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8"/>
      <c r="BW92" s="79"/>
      <c r="BX92" s="79"/>
      <c r="BY92" s="79"/>
      <c r="BZ92" s="79"/>
      <c r="CA92" s="79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82"/>
      <c r="CU92" s="79"/>
      <c r="CV92" s="79"/>
      <c r="CW92" s="78"/>
      <c r="CX92" s="78"/>
      <c r="CY92" s="79"/>
      <c r="CZ92" s="79"/>
      <c r="DA92" s="79"/>
      <c r="DB92" s="78"/>
      <c r="DC92" s="79"/>
      <c r="DD92" s="79"/>
    </row>
    <row r="93" spans="2:108" ht="15.75">
      <c r="B93" s="99" t="s">
        <v>192</v>
      </c>
      <c r="C93" s="84"/>
      <c r="D93" s="85"/>
      <c r="E93" s="86">
        <f>'[4]г.Экибастуз продолж.2014г.'!$AG$104</f>
        <v>27858.40363126</v>
      </c>
      <c r="F93" s="80"/>
      <c r="G93" s="80"/>
      <c r="H93" s="80"/>
      <c r="I93" s="80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80"/>
      <c r="AM93" s="80"/>
      <c r="AN93" s="80"/>
      <c r="AO93" s="80"/>
      <c r="AP93" s="79"/>
      <c r="AQ93" s="79"/>
      <c r="AR93" s="79"/>
      <c r="AS93" s="79"/>
      <c r="AT93" s="78"/>
      <c r="AU93" s="78"/>
      <c r="AV93" s="78"/>
      <c r="AW93" s="78"/>
      <c r="AX93" s="79"/>
      <c r="AY93" s="79"/>
      <c r="AZ93" s="79"/>
      <c r="BA93" s="79"/>
      <c r="BB93" s="78"/>
      <c r="BC93" s="79"/>
      <c r="BD93" s="79"/>
      <c r="BE93" s="79"/>
      <c r="BF93" s="81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8"/>
      <c r="BW93" s="79"/>
      <c r="BX93" s="79"/>
      <c r="BY93" s="79"/>
      <c r="BZ93" s="79"/>
      <c r="CA93" s="79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82"/>
      <c r="CU93" s="79"/>
      <c r="CV93" s="79"/>
      <c r="CW93" s="78"/>
      <c r="CX93" s="78"/>
      <c r="CY93" s="79"/>
      <c r="CZ93" s="79"/>
      <c r="DA93" s="79"/>
      <c r="DB93" s="78"/>
      <c r="DC93" s="79"/>
      <c r="DD93" s="79"/>
    </row>
    <row r="94" spans="2:5" ht="15.75">
      <c r="B94" s="99" t="s">
        <v>193</v>
      </c>
      <c r="C94" s="101"/>
      <c r="D94" s="101"/>
      <c r="E94" s="98">
        <f>'[4]г.Экибастуз продолж.2014г.'!$AH$104</f>
        <v>66.54398753999334</v>
      </c>
    </row>
    <row r="95" spans="2:5" ht="15.75">
      <c r="B95" s="100" t="s">
        <v>194</v>
      </c>
      <c r="C95" s="101"/>
      <c r="D95" s="101"/>
      <c r="E95" s="102" t="e">
        <f>#REF!</f>
        <v>#REF!</v>
      </c>
    </row>
    <row r="96" spans="2:5" ht="15.75">
      <c r="B96" s="100" t="s">
        <v>195</v>
      </c>
      <c r="C96" s="101"/>
      <c r="D96" s="101"/>
      <c r="E96" s="103" t="e">
        <f>E92+E94+E93-E95</f>
        <v>#REF!</v>
      </c>
    </row>
    <row r="97" spans="2:5" ht="15.75">
      <c r="B97" s="101"/>
      <c r="C97" s="101"/>
      <c r="D97" s="101"/>
      <c r="E97" s="101"/>
    </row>
  </sheetData>
  <sheetProtection/>
  <mergeCells count="19">
    <mergeCell ref="F1:G1"/>
    <mergeCell ref="F2:G2"/>
    <mergeCell ref="F3:G3"/>
    <mergeCell ref="F4:G4"/>
    <mergeCell ref="F5:G5"/>
    <mergeCell ref="F6:G6"/>
    <mergeCell ref="B8:D8"/>
    <mergeCell ref="A20:A22"/>
    <mergeCell ref="B20:B22"/>
    <mergeCell ref="C20:C22"/>
    <mergeCell ref="D20:D22"/>
    <mergeCell ref="E20:E22"/>
    <mergeCell ref="A69:A75"/>
    <mergeCell ref="A76:A78"/>
    <mergeCell ref="B79:DD79"/>
    <mergeCell ref="A10:G10"/>
    <mergeCell ref="F20:F22"/>
    <mergeCell ref="G20:G22"/>
    <mergeCell ref="G66:G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Kuznecova</dc:creator>
  <cp:keywords/>
  <dc:description/>
  <cp:lastModifiedBy>Тагизова С.</cp:lastModifiedBy>
  <cp:lastPrinted>2017-05-02T04:34:23Z</cp:lastPrinted>
  <dcterms:created xsi:type="dcterms:W3CDTF">2009-02-25T04:19:22Z</dcterms:created>
  <dcterms:modified xsi:type="dcterms:W3CDTF">2017-05-02T10:24:05Z</dcterms:modified>
  <cp:category/>
  <cp:version/>
  <cp:contentType/>
  <cp:contentStatus/>
</cp:coreProperties>
</file>