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65326" windowWidth="14895" windowHeight="11010" activeTab="0"/>
  </bookViews>
  <sheets>
    <sheet name="ТС за 2 полугодие 2015г" sheetId="1" r:id="rId1"/>
  </sheets>
  <externalReferences>
    <externalReference r:id="rId4"/>
    <externalReference r:id="rId5"/>
  </externalReferences>
  <definedNames>
    <definedName name="_xlnm.Print_Titles" localSheetId="0">'ТС за 2 полугодие 2015г'!$A:$B,'ТС за 2 полугодие 2015г'!$13:$17</definedName>
    <definedName name="_xlnm.Print_Area" localSheetId="0">'ТС за 2 полугодие 2015г'!$A$1:$AB$98</definedName>
  </definedNames>
  <calcPr fullCalcOnLoad="1"/>
</workbook>
</file>

<file path=xl/sharedStrings.xml><?xml version="1.0" encoding="utf-8"?>
<sst xmlns="http://schemas.openxmlformats.org/spreadsheetml/2006/main" count="225" uniqueCount="140">
  <si>
    <t>№ п/п</t>
  </si>
  <si>
    <t>1.1.</t>
  </si>
  <si>
    <t>1.2.</t>
  </si>
  <si>
    <t>2.1.</t>
  </si>
  <si>
    <t>2.2.</t>
  </si>
  <si>
    <t>Расходы периода</t>
  </si>
  <si>
    <t>Услуги сторонних организаций</t>
  </si>
  <si>
    <t>аудит</t>
  </si>
  <si>
    <t>командировочные расходы</t>
  </si>
  <si>
    <t>услуги банка</t>
  </si>
  <si>
    <t>охрана объектов</t>
  </si>
  <si>
    <t>налог на имущество</t>
  </si>
  <si>
    <t>I</t>
  </si>
  <si>
    <t>Затраты на производство товаров и предоставление услуг</t>
  </si>
  <si>
    <t>тыс. тенге</t>
  </si>
  <si>
    <t>в том числе:</t>
  </si>
  <si>
    <t>Материальные затраты, всего</t>
  </si>
  <si>
    <t>-\\-</t>
  </si>
  <si>
    <t>Покупная энергия в горячей воде для централизованного теплоснабжения</t>
  </si>
  <si>
    <t>Передача и распределение тепловой энергии в горячей воде</t>
  </si>
  <si>
    <t>II</t>
  </si>
  <si>
    <t>Материалы на эксплуатацию</t>
  </si>
  <si>
    <t>материалы по АСУ</t>
  </si>
  <si>
    <t>Затраты на оплату труда, всего</t>
  </si>
  <si>
    <t>3.1.</t>
  </si>
  <si>
    <t>заработная плата</t>
  </si>
  <si>
    <t>3.2.</t>
  </si>
  <si>
    <t>социальный налог</t>
  </si>
  <si>
    <t>Амортизация</t>
  </si>
  <si>
    <t>5.1.</t>
  </si>
  <si>
    <t xml:space="preserve">услуги по транспорту </t>
  </si>
  <si>
    <t>Прочие услуги</t>
  </si>
  <si>
    <t>6.1.</t>
  </si>
  <si>
    <t>6.2.</t>
  </si>
  <si>
    <t>канцелярские и  почтово-телеграфные расходы</t>
  </si>
  <si>
    <t>6.3.</t>
  </si>
  <si>
    <t>услуги связи (радио, телефон)</t>
  </si>
  <si>
    <t>6.4.</t>
  </si>
  <si>
    <t>6.5.</t>
  </si>
  <si>
    <t>6.6.</t>
  </si>
  <si>
    <t>налоговые платежи и сборы</t>
  </si>
  <si>
    <t>страхование работников</t>
  </si>
  <si>
    <t>6.7.</t>
  </si>
  <si>
    <t xml:space="preserve">аренда помещений </t>
  </si>
  <si>
    <t>6.8.</t>
  </si>
  <si>
    <t>затраты по технике безопасности и охране труда</t>
  </si>
  <si>
    <t>информационные, регистраторские услуги</t>
  </si>
  <si>
    <t>6.10.</t>
  </si>
  <si>
    <t>изготовление бланочной продукции</t>
  </si>
  <si>
    <t>6.12.</t>
  </si>
  <si>
    <t>Всего затрат по снабженческой надбавке</t>
  </si>
  <si>
    <t>III</t>
  </si>
  <si>
    <t>IV</t>
  </si>
  <si>
    <t>Прибыль</t>
  </si>
  <si>
    <t>V</t>
  </si>
  <si>
    <t>Всего доходов</t>
  </si>
  <si>
    <t>VI</t>
  </si>
  <si>
    <t>Всего доходов по снабженческой надбавке</t>
  </si>
  <si>
    <t>VII</t>
  </si>
  <si>
    <t>Полезный отпуск тепловой энергии</t>
  </si>
  <si>
    <t>тыс. Гкал</t>
  </si>
  <si>
    <t>Покупная энергия в горячей воде от ТЭЦ-3 АО "Павлодарэнерго"</t>
  </si>
  <si>
    <t>1.3.</t>
  </si>
  <si>
    <t>Покупная энергия в паре от ТЭЦ-3 и ТЭЦ-2  АО "Павлодарэнерго"</t>
  </si>
  <si>
    <t>1.4.</t>
  </si>
  <si>
    <t>материалы по техн.обслуживанию</t>
  </si>
  <si>
    <t>поверка приборов, техническое обслуживание копировального оборудования</t>
  </si>
  <si>
    <t>6.11.</t>
  </si>
  <si>
    <t>приобретение нормативно-технической литературы</t>
  </si>
  <si>
    <t>Расходы на выплату вознаграждений</t>
  </si>
  <si>
    <t>VIII</t>
  </si>
  <si>
    <t>тенге/ Гкал</t>
  </si>
  <si>
    <t>6.9.</t>
  </si>
  <si>
    <t>5.2.</t>
  </si>
  <si>
    <t>Всего затрат</t>
  </si>
  <si>
    <t>без учета НДС</t>
  </si>
  <si>
    <t>Всего</t>
  </si>
  <si>
    <t>Для потребителей, присоединенных к сетям централизованного теплоснабжения</t>
  </si>
  <si>
    <t>Для потребителей, не присоединенных к сетям централизованного теплоснабжения</t>
  </si>
  <si>
    <t>от ТЭЦ-2 пар 16</t>
  </si>
  <si>
    <t>от ТЭЦ-3</t>
  </si>
  <si>
    <t>ИТП</t>
  </si>
  <si>
    <t>ЦТП</t>
  </si>
  <si>
    <t>пар 16</t>
  </si>
  <si>
    <t>горячая вода</t>
  </si>
  <si>
    <t xml:space="preserve">прочие услуги </t>
  </si>
  <si>
    <t>Тариф без учета НДС</t>
  </si>
  <si>
    <t>проценты распределения объемов реализации</t>
  </si>
  <si>
    <t>Ед.измерения</t>
  </si>
  <si>
    <t>IX</t>
  </si>
  <si>
    <t>X</t>
  </si>
  <si>
    <t>Население</t>
  </si>
  <si>
    <t>Прочие потребители</t>
  </si>
  <si>
    <t>Объемы для потребителей, присоединенных к сетям централизованного теплоснабжения</t>
  </si>
  <si>
    <t>Наименование субъекта ТОО "Павлодарэнергосбыт"</t>
  </si>
  <si>
    <t>для физических лиц, относящихся к группе население, имеющих общедомовые приборы учета тепловой энергии</t>
  </si>
  <si>
    <t>для физических лиц, относящихся к группе население,  не имеющих общедомовые приборы учета тепловой энергии</t>
  </si>
  <si>
    <t>для физических лиц, относящихся к группе население, проживающих  в ветхих, аварийных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</si>
  <si>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>для прочих потребителей, имеющих общедомовые приборы учета тепловой энергии</t>
  </si>
  <si>
    <t>для прочих потребителей, не имеющих общедомовые приборы учета тепловой энергии</t>
  </si>
  <si>
    <t>для прочих потребителей,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</si>
  <si>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>плата за загрязнение окружающей среды, земельный налог</t>
  </si>
  <si>
    <t>Генеральный директор                                                                                                                               Аргинов Т.Г.</t>
  </si>
  <si>
    <t>Отчет об исполнении тарифной сметы на услуги по снабжению тепловой энергией г.Павлодара  за 2 полугодие 2015 года.</t>
  </si>
  <si>
    <t>Причины отклонения</t>
  </si>
  <si>
    <t>тыс.тенге</t>
  </si>
  <si>
    <t>в том числе</t>
  </si>
  <si>
    <t>%</t>
  </si>
  <si>
    <t>для потребителей, присоединенных к сетям централизованного теплоснабжения</t>
  </si>
  <si>
    <t>для потребителей, не присоединенных к сетям централизованного теплоснабжения</t>
  </si>
  <si>
    <t>За счет снижения объемов по реализации (ТОО "Компания Нефтехим LTD", ГУ "АП 162/3")</t>
  </si>
  <si>
    <t>За счет снижения объемов по реализации (ТОО "БелАН", ТОО "Ертыс-Сервис", "Компания "Нефтехим LTD")</t>
  </si>
  <si>
    <t>За счет роста МРП, увеличения командировок, связанных с производ. необходимостью.</t>
  </si>
  <si>
    <t>Убытки от применения диф.тарифов, а также  за счет снижения объема потребления крупных потребителей.</t>
  </si>
  <si>
    <t xml:space="preserve">За счет снижения объема (ТОО "Ертыс-Сервис", "Компания "Нефтехим LTD", ТОО "БелАН") </t>
  </si>
  <si>
    <t>Увеличение количества потребителей  установивших  приборы учета тепловой энергии в целях энергосбережения.</t>
  </si>
  <si>
    <t>Наименование показателей тарифной сметы</t>
  </si>
  <si>
    <t>Фактически сложившиеся показатели за 2 полугодие 2015 года</t>
  </si>
  <si>
    <t>Отклонение, в %</t>
  </si>
  <si>
    <t xml:space="preserve">Приложение 2 </t>
  </si>
  <si>
    <t xml:space="preserve"> к Правилам утверждения тарифов</t>
  </si>
  <si>
    <t xml:space="preserve"> (цен, ставок сборов) и тарифных смет</t>
  </si>
  <si>
    <t xml:space="preserve">на регулируемые услуги (товары, работы) </t>
  </si>
  <si>
    <t xml:space="preserve"> субъектов естественных монополий</t>
  </si>
  <si>
    <t>Справочно:</t>
  </si>
  <si>
    <t>Среднесписочная численность, всего</t>
  </si>
  <si>
    <t>чел.</t>
  </si>
  <si>
    <t>Среднемесячная заработная плата, всего</t>
  </si>
  <si>
    <t>тенге</t>
  </si>
  <si>
    <t xml:space="preserve"> За счет заниженной  средней з/п в утвержденной тарифной смете.</t>
  </si>
  <si>
    <t>Снабженческая надбавка</t>
  </si>
  <si>
    <t>тенге/Гкал</t>
  </si>
  <si>
    <t>Наименование организации "ТОО Павлодарэнергосбыт"</t>
  </si>
  <si>
    <r>
      <t xml:space="preserve">Адрес </t>
    </r>
    <r>
      <rPr>
        <u val="single"/>
        <sz val="16"/>
        <rFont val="Times New Roman"/>
        <family val="1"/>
      </rPr>
      <t>г.Павлодар ул.Кривенко,27</t>
    </r>
  </si>
  <si>
    <r>
      <t xml:space="preserve">Телефон </t>
    </r>
    <r>
      <rPr>
        <u val="single"/>
        <sz val="16"/>
        <rFont val="Times New Roman"/>
        <family val="1"/>
      </rPr>
      <t>39-95-24</t>
    </r>
  </si>
  <si>
    <r>
      <t xml:space="preserve">Адрес электронной почты </t>
    </r>
    <r>
      <rPr>
        <u val="single"/>
        <sz val="16"/>
        <rFont val="Times New Roman"/>
        <family val="1"/>
      </rPr>
      <t>office@pavlodarenergo.kz</t>
    </r>
  </si>
  <si>
    <r>
      <t xml:space="preserve">Фамилия и телефон исполнителя </t>
    </r>
    <r>
      <rPr>
        <u val="single"/>
        <sz val="16"/>
        <rFont val="Times New Roman"/>
        <family val="1"/>
      </rPr>
      <t>Члек т.39-95-72</t>
    </r>
  </si>
  <si>
    <t>Удорожание стоимости периодической печати, нормативной документации.</t>
  </si>
  <si>
    <t>Предусмотрено в утвержденной тарифной смете  за 2 полугодие 2015 года</t>
  </si>
  <si>
    <t>За счет увеличения стоимости арендной платы  и заключения договора по вновь арендуемому кассовому пункту (в утверж. тариф. смете данные затраты УО не  учтены);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</si>
</sst>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  <numFmt numFmtId="172" formatCode="0.0"/>
    <numFmt numFmtId="173" formatCode="#,##0.0000"/>
    <numFmt numFmtId="174" formatCode="#,##0.0000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sz val="14"/>
      <color indexed="9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3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171" fontId="3" fillId="0" borderId="18" xfId="0" applyNumberFormat="1" applyFont="1" applyFill="1" applyBorder="1" applyAlignment="1">
      <alignment vertical="center"/>
    </xf>
    <xf numFmtId="171" fontId="3" fillId="0" borderId="19" xfId="0" applyNumberFormat="1" applyFont="1" applyFill="1" applyBorder="1" applyAlignment="1">
      <alignment vertical="center"/>
    </xf>
    <xf numFmtId="171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171" fontId="3" fillId="0" borderId="23" xfId="0" applyNumberFormat="1" applyFont="1" applyFill="1" applyBorder="1" applyAlignment="1">
      <alignment vertical="center"/>
    </xf>
    <xf numFmtId="171" fontId="3" fillId="0" borderId="38" xfId="0" applyNumberFormat="1" applyFont="1" applyFill="1" applyBorder="1" applyAlignment="1">
      <alignment vertical="center"/>
    </xf>
    <xf numFmtId="4" fontId="3" fillId="0" borderId="39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38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" fontId="7" fillId="0" borderId="4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vertical="center"/>
    </xf>
    <xf numFmtId="4" fontId="4" fillId="0" borderId="37" xfId="0" applyNumberFormat="1" applyFon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vertical="center"/>
    </xf>
    <xf numFmtId="4" fontId="3" fillId="0" borderId="15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16" fontId="4" fillId="0" borderId="13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4" fontId="7" fillId="0" borderId="4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3" fillId="0" borderId="25" xfId="0" applyNumberFormat="1" applyFont="1" applyFill="1" applyBorder="1" applyAlignment="1">
      <alignment vertical="center"/>
    </xf>
    <xf numFmtId="4" fontId="3" fillId="0" borderId="49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35" xfId="0" applyFont="1" applyFill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171" fontId="4" fillId="0" borderId="25" xfId="0" applyNumberFormat="1" applyFont="1" applyFill="1" applyBorder="1" applyAlignment="1">
      <alignment vertical="center"/>
    </xf>
    <xf numFmtId="171" fontId="4" fillId="0" borderId="26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71" fontId="4" fillId="0" borderId="13" xfId="0" applyNumberFormat="1" applyFont="1" applyFill="1" applyBorder="1" applyAlignment="1">
      <alignment vertical="center"/>
    </xf>
    <xf numFmtId="171" fontId="4" fillId="0" borderId="12" xfId="0" applyNumberFormat="1" applyFont="1" applyFill="1" applyBorder="1" applyAlignment="1">
      <alignment vertical="center"/>
    </xf>
    <xf numFmtId="171" fontId="3" fillId="0" borderId="48" xfId="0" applyNumberFormat="1" applyFont="1" applyFill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3" fontId="4" fillId="0" borderId="4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171" fontId="4" fillId="0" borderId="14" xfId="0" applyNumberFormat="1" applyFont="1" applyFill="1" applyBorder="1" applyAlignment="1">
      <alignment vertical="center"/>
    </xf>
    <xf numFmtId="171" fontId="4" fillId="0" borderId="37" xfId="0" applyNumberFormat="1" applyFont="1" applyFill="1" applyBorder="1" applyAlignment="1">
      <alignment vertical="center"/>
    </xf>
    <xf numFmtId="171" fontId="4" fillId="0" borderId="35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4" fontId="3" fillId="0" borderId="37" xfId="0" applyNumberFormat="1" applyFont="1" applyFill="1" applyBorder="1" applyAlignment="1">
      <alignment vertical="center"/>
    </xf>
    <xf numFmtId="4" fontId="3" fillId="0" borderId="50" xfId="0" applyNumberFormat="1" applyFont="1" applyFill="1" applyBorder="1" applyAlignment="1">
      <alignment vertical="center"/>
    </xf>
    <xf numFmtId="0" fontId="4" fillId="0" borderId="52" xfId="0" applyFont="1" applyBorder="1" applyAlignment="1">
      <alignment vertical="center" wrapText="1"/>
    </xf>
    <xf numFmtId="4" fontId="4" fillId="0" borderId="53" xfId="0" applyNumberFormat="1" applyFont="1" applyFill="1" applyBorder="1" applyAlignment="1">
      <alignment vertical="center"/>
    </xf>
    <xf numFmtId="4" fontId="4" fillId="0" borderId="54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4" fontId="3" fillId="0" borderId="53" xfId="0" applyNumberFormat="1" applyFont="1" applyFill="1" applyBorder="1" applyAlignment="1">
      <alignment vertical="center"/>
    </xf>
    <xf numFmtId="4" fontId="3" fillId="0" borderId="54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55" xfId="0" applyNumberFormat="1" applyFont="1" applyFill="1" applyBorder="1" applyAlignment="1">
      <alignment vertical="center"/>
    </xf>
    <xf numFmtId="4" fontId="4" fillId="0" borderId="52" xfId="0" applyNumberFormat="1" applyFont="1" applyFill="1" applyBorder="1" applyAlignment="1">
      <alignment vertical="center"/>
    </xf>
    <xf numFmtId="4" fontId="4" fillId="0" borderId="56" xfId="0" applyNumberFormat="1" applyFont="1" applyFill="1" applyBorder="1" applyAlignment="1">
      <alignment vertical="center"/>
    </xf>
    <xf numFmtId="4" fontId="4" fillId="0" borderId="57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4" fillId="0" borderId="58" xfId="0" applyNumberFormat="1" applyFont="1" applyFill="1" applyBorder="1" applyAlignment="1">
      <alignment vertical="center"/>
    </xf>
    <xf numFmtId="4" fontId="4" fillId="0" borderId="5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171" fontId="3" fillId="33" borderId="0" xfId="0" applyNumberFormat="1" applyFont="1" applyFill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6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3" fillId="0" borderId="64" xfId="0" applyFont="1" applyFill="1" applyBorder="1" applyAlignment="1">
      <alignment wrapText="1"/>
    </xf>
    <xf numFmtId="49" fontId="3" fillId="0" borderId="48" xfId="0" applyNumberFormat="1" applyFont="1" applyFill="1" applyBorder="1" applyAlignment="1">
      <alignment horizontal="center" vertical="center" wrapText="1"/>
    </xf>
    <xf numFmtId="171" fontId="3" fillId="0" borderId="21" xfId="0" applyNumberFormat="1" applyFont="1" applyFill="1" applyBorder="1" applyAlignment="1">
      <alignment vertical="center"/>
    </xf>
    <xf numFmtId="171" fontId="3" fillId="0" borderId="65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171" fontId="3" fillId="0" borderId="47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3" fontId="4" fillId="34" borderId="28" xfId="0" applyNumberFormat="1" applyFont="1" applyFill="1" applyBorder="1" applyAlignment="1">
      <alignment vertical="center"/>
    </xf>
    <xf numFmtId="3" fontId="3" fillId="34" borderId="28" xfId="0" applyNumberFormat="1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vertical="center"/>
    </xf>
    <xf numFmtId="3" fontId="4" fillId="34" borderId="24" xfId="0" applyNumberFormat="1" applyFont="1" applyFill="1" applyBorder="1" applyAlignment="1">
      <alignment vertical="center"/>
    </xf>
    <xf numFmtId="3" fontId="3" fillId="34" borderId="30" xfId="0" applyNumberFormat="1" applyFont="1" applyFill="1" applyBorder="1" applyAlignment="1">
      <alignment vertical="center"/>
    </xf>
    <xf numFmtId="3" fontId="4" fillId="34" borderId="0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 vertical="center"/>
    </xf>
    <xf numFmtId="3" fontId="3" fillId="34" borderId="36" xfId="0" applyNumberFormat="1" applyFont="1" applyFill="1" applyBorder="1" applyAlignment="1">
      <alignment vertical="center"/>
    </xf>
    <xf numFmtId="171" fontId="3" fillId="34" borderId="39" xfId="0" applyNumberFormat="1" applyFont="1" applyFill="1" applyBorder="1" applyAlignment="1">
      <alignment vertical="center"/>
    </xf>
    <xf numFmtId="4" fontId="3" fillId="34" borderId="39" xfId="0" applyNumberFormat="1" applyFont="1" applyFill="1" applyBorder="1" applyAlignment="1">
      <alignment vertical="center"/>
    </xf>
    <xf numFmtId="3" fontId="8" fillId="34" borderId="20" xfId="0" applyNumberFormat="1" applyFont="1" applyFill="1" applyBorder="1" applyAlignment="1">
      <alignment vertical="center"/>
    </xf>
    <xf numFmtId="171" fontId="3" fillId="34" borderId="21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/>
    </xf>
    <xf numFmtId="171" fontId="4" fillId="34" borderId="13" xfId="0" applyNumberFormat="1" applyFont="1" applyFill="1" applyBorder="1" applyAlignment="1">
      <alignment horizontal="center" vertical="center"/>
    </xf>
    <xf numFmtId="171" fontId="4" fillId="34" borderId="15" xfId="0" applyNumberFormat="1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/>
    </xf>
    <xf numFmtId="0" fontId="4" fillId="34" borderId="62" xfId="0" applyFont="1" applyFill="1" applyBorder="1" applyAlignment="1">
      <alignment/>
    </xf>
    <xf numFmtId="0" fontId="4" fillId="34" borderId="63" xfId="0" applyFont="1" applyFill="1" applyBorder="1" applyAlignment="1">
      <alignment/>
    </xf>
    <xf numFmtId="0" fontId="4" fillId="0" borderId="15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0" borderId="66" xfId="0" applyNumberFormat="1" applyFont="1" applyFill="1" applyBorder="1" applyAlignment="1">
      <alignment vertical="center"/>
    </xf>
    <xf numFmtId="4" fontId="3" fillId="34" borderId="17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vertical="center"/>
    </xf>
    <xf numFmtId="9" fontId="4" fillId="0" borderId="25" xfId="57" applyFont="1" applyFill="1" applyBorder="1" applyAlignment="1">
      <alignment vertical="center"/>
    </xf>
    <xf numFmtId="9" fontId="4" fillId="0" borderId="26" xfId="57" applyFont="1" applyFill="1" applyBorder="1" applyAlignment="1">
      <alignment vertical="center"/>
    </xf>
    <xf numFmtId="9" fontId="4" fillId="0" borderId="24" xfId="57" applyFont="1" applyFill="1" applyBorder="1" applyAlignment="1">
      <alignment vertical="center"/>
    </xf>
    <xf numFmtId="9" fontId="4" fillId="0" borderId="11" xfId="57" applyFont="1" applyFill="1" applyBorder="1" applyAlignment="1">
      <alignment vertical="center"/>
    </xf>
    <xf numFmtId="9" fontId="4" fillId="0" borderId="14" xfId="57" applyFont="1" applyFill="1" applyBorder="1" applyAlignment="1">
      <alignment vertical="center"/>
    </xf>
    <xf numFmtId="9" fontId="4" fillId="0" borderId="28" xfId="57" applyFont="1" applyFill="1" applyBorder="1" applyAlignment="1">
      <alignment vertical="center"/>
    </xf>
    <xf numFmtId="0" fontId="7" fillId="0" borderId="5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/>
    </xf>
    <xf numFmtId="9" fontId="4" fillId="0" borderId="0" xfId="57" applyFont="1" applyFill="1" applyBorder="1" applyAlignment="1">
      <alignment vertical="center"/>
    </xf>
    <xf numFmtId="9" fontId="4" fillId="0" borderId="46" xfId="57" applyFont="1" applyFill="1" applyBorder="1" applyAlignment="1">
      <alignment vertical="center"/>
    </xf>
    <xf numFmtId="9" fontId="4" fillId="0" borderId="22" xfId="57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9" fontId="4" fillId="0" borderId="30" xfId="57" applyFont="1" applyFill="1" applyBorder="1" applyAlignment="1">
      <alignment vertical="center"/>
    </xf>
    <xf numFmtId="9" fontId="4" fillId="0" borderId="31" xfId="57" applyFont="1" applyFill="1" applyBorder="1" applyAlignment="1">
      <alignment vertical="center"/>
    </xf>
    <xf numFmtId="9" fontId="4" fillId="0" borderId="32" xfId="57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3" fontId="3" fillId="0" borderId="65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9" fontId="3" fillId="0" borderId="0" xfId="57" applyFont="1" applyFill="1" applyBorder="1" applyAlignment="1">
      <alignment vertical="center"/>
    </xf>
    <xf numFmtId="9" fontId="3" fillId="0" borderId="39" xfId="57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69" xfId="0" applyNumberFormat="1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vertical="center"/>
    </xf>
    <xf numFmtId="171" fontId="3" fillId="0" borderId="25" xfId="0" applyNumberFormat="1" applyFont="1" applyFill="1" applyBorder="1" applyAlignment="1">
      <alignment vertical="center"/>
    </xf>
    <xf numFmtId="171" fontId="3" fillId="0" borderId="49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wrapText="1"/>
    </xf>
    <xf numFmtId="171" fontId="4" fillId="0" borderId="48" xfId="0" applyNumberFormat="1" applyFont="1" applyFill="1" applyBorder="1" applyAlignment="1">
      <alignment vertical="center"/>
    </xf>
    <xf numFmtId="171" fontId="4" fillId="0" borderId="21" xfId="0" applyNumberFormat="1" applyFont="1" applyFill="1" applyBorder="1" applyAlignment="1">
      <alignment vertical="center"/>
    </xf>
    <xf numFmtId="171" fontId="4" fillId="0" borderId="65" xfId="0" applyNumberFormat="1" applyFont="1" applyFill="1" applyBorder="1" applyAlignment="1">
      <alignment vertical="center"/>
    </xf>
    <xf numFmtId="9" fontId="4" fillId="0" borderId="64" xfId="57" applyFont="1" applyFill="1" applyBorder="1" applyAlignment="1">
      <alignment vertical="center"/>
    </xf>
    <xf numFmtId="9" fontId="4" fillId="0" borderId="21" xfId="57" applyFont="1" applyFill="1" applyBorder="1" applyAlignment="1">
      <alignment vertical="center"/>
    </xf>
    <xf numFmtId="9" fontId="4" fillId="0" borderId="47" xfId="57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wrapText="1"/>
    </xf>
    <xf numFmtId="171" fontId="3" fillId="0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171" fontId="4" fillId="0" borderId="16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/>
    </xf>
    <xf numFmtId="3" fontId="4" fillId="0" borderId="7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9" fontId="4" fillId="0" borderId="71" xfId="57" applyFont="1" applyFill="1" applyBorder="1" applyAlignment="1">
      <alignment vertical="center"/>
    </xf>
    <xf numFmtId="9" fontId="4" fillId="0" borderId="39" xfId="57" applyFont="1" applyFill="1" applyBorder="1" applyAlignment="1">
      <alignment vertical="center"/>
    </xf>
    <xf numFmtId="9" fontId="3" fillId="0" borderId="60" xfId="57" applyFont="1" applyFill="1" applyBorder="1" applyAlignment="1">
      <alignment vertical="center"/>
    </xf>
    <xf numFmtId="9" fontId="3" fillId="0" borderId="66" xfId="57" applyFont="1" applyFill="1" applyBorder="1" applyAlignment="1">
      <alignment vertical="center"/>
    </xf>
    <xf numFmtId="9" fontId="3" fillId="0" borderId="61" xfId="57" applyFont="1" applyFill="1" applyBorder="1" applyAlignment="1">
      <alignment vertical="center"/>
    </xf>
    <xf numFmtId="9" fontId="3" fillId="0" borderId="72" xfId="57" applyFont="1" applyFill="1" applyBorder="1" applyAlignment="1">
      <alignment vertical="center"/>
    </xf>
    <xf numFmtId="9" fontId="3" fillId="0" borderId="71" xfId="57" applyFont="1" applyFill="1" applyBorder="1" applyAlignment="1">
      <alignment vertical="center"/>
    </xf>
    <xf numFmtId="9" fontId="4" fillId="0" borderId="18" xfId="57" applyFont="1" applyFill="1" applyBorder="1" applyAlignment="1">
      <alignment vertical="center"/>
    </xf>
    <xf numFmtId="9" fontId="4" fillId="0" borderId="23" xfId="57" applyFont="1" applyFill="1" applyBorder="1" applyAlignment="1">
      <alignment vertical="center"/>
    </xf>
    <xf numFmtId="9" fontId="3" fillId="0" borderId="69" xfId="57" applyFont="1" applyFill="1" applyBorder="1" applyAlignment="1">
      <alignment vertical="center"/>
    </xf>
    <xf numFmtId="0" fontId="7" fillId="0" borderId="20" xfId="0" applyFont="1" applyFill="1" applyBorder="1" applyAlignment="1">
      <alignment vertical="center" textRotation="90" wrapText="1"/>
    </xf>
    <xf numFmtId="0" fontId="7" fillId="0" borderId="10" xfId="0" applyFont="1" applyFill="1" applyBorder="1" applyAlignment="1">
      <alignment vertical="center" textRotation="90" wrapText="1"/>
    </xf>
    <xf numFmtId="0" fontId="7" fillId="0" borderId="13" xfId="0" applyFont="1" applyFill="1" applyBorder="1" applyAlignment="1">
      <alignment vertical="center" textRotation="90" wrapText="1"/>
    </xf>
    <xf numFmtId="0" fontId="7" fillId="0" borderId="52" xfId="0" applyFont="1" applyFill="1" applyBorder="1" applyAlignment="1">
      <alignment vertical="center" textRotation="90" wrapText="1"/>
    </xf>
    <xf numFmtId="0" fontId="7" fillId="0" borderId="17" xfId="0" applyFont="1" applyFill="1" applyBorder="1" applyAlignment="1">
      <alignment vertical="center" textRotation="90" wrapText="1"/>
    </xf>
    <xf numFmtId="0" fontId="7" fillId="0" borderId="16" xfId="0" applyFont="1" applyFill="1" applyBorder="1" applyAlignment="1">
      <alignment vertical="center" textRotation="90" wrapText="1"/>
    </xf>
    <xf numFmtId="49" fontId="4" fillId="0" borderId="18" xfId="0" applyNumberFormat="1" applyFont="1" applyFill="1" applyBorder="1" applyAlignment="1">
      <alignment horizontal="center"/>
    </xf>
    <xf numFmtId="0" fontId="3" fillId="0" borderId="70" xfId="0" applyFont="1" applyFill="1" applyBorder="1" applyAlignment="1">
      <alignment horizontal="left"/>
    </xf>
    <xf numFmtId="0" fontId="4" fillId="0" borderId="73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/>
    </xf>
    <xf numFmtId="2" fontId="4" fillId="0" borderId="18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169" fontId="4" fillId="0" borderId="39" xfId="0" applyNumberFormat="1" applyFont="1" applyFill="1" applyBorder="1" applyAlignment="1">
      <alignment/>
    </xf>
    <xf numFmtId="169" fontId="4" fillId="0" borderId="18" xfId="0" applyNumberFormat="1" applyFont="1" applyFill="1" applyBorder="1" applyAlignment="1">
      <alignment/>
    </xf>
    <xf numFmtId="169" fontId="4" fillId="0" borderId="23" xfId="0" applyNumberFormat="1" applyFont="1" applyFill="1" applyBorder="1" applyAlignment="1">
      <alignment/>
    </xf>
    <xf numFmtId="49" fontId="4" fillId="0" borderId="43" xfId="0" applyNumberFormat="1" applyFont="1" applyFill="1" applyBorder="1" applyAlignment="1">
      <alignment horizontal="center"/>
    </xf>
    <xf numFmtId="0" fontId="4" fillId="0" borderId="74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center"/>
    </xf>
    <xf numFmtId="49" fontId="4" fillId="0" borderId="53" xfId="0" applyNumberFormat="1" applyFont="1" applyFill="1" applyBorder="1" applyAlignment="1">
      <alignment horizontal="center"/>
    </xf>
    <xf numFmtId="0" fontId="4" fillId="0" borderId="75" xfId="0" applyFont="1" applyFill="1" applyBorder="1" applyAlignment="1">
      <alignment horizontal="left" wrapText="1"/>
    </xf>
    <xf numFmtId="0" fontId="4" fillId="0" borderId="57" xfId="0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4" fillId="0" borderId="76" xfId="0" applyFont="1" applyFill="1" applyBorder="1" applyAlignment="1">
      <alignment horizontal="left"/>
    </xf>
    <xf numFmtId="0" fontId="4" fillId="0" borderId="59" xfId="0" applyFont="1" applyFill="1" applyBorder="1" applyAlignment="1">
      <alignment horizontal="center"/>
    </xf>
    <xf numFmtId="2" fontId="4" fillId="0" borderId="63" xfId="0" applyNumberFormat="1" applyFont="1" applyFill="1" applyBorder="1" applyAlignment="1">
      <alignment/>
    </xf>
    <xf numFmtId="2" fontId="4" fillId="0" borderId="76" xfId="0" applyNumberFormat="1" applyFont="1" applyFill="1" applyBorder="1" applyAlignment="1">
      <alignment/>
    </xf>
    <xf numFmtId="2" fontId="4" fillId="0" borderId="59" xfId="0" applyNumberFormat="1" applyFont="1" applyFill="1" applyBorder="1" applyAlignment="1">
      <alignment/>
    </xf>
    <xf numFmtId="2" fontId="4" fillId="0" borderId="50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 horizontal="right"/>
    </xf>
    <xf numFmtId="3" fontId="4" fillId="0" borderId="76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right"/>
    </xf>
    <xf numFmtId="9" fontId="4" fillId="0" borderId="76" xfId="57" applyFont="1" applyFill="1" applyBorder="1" applyAlignment="1">
      <alignment vertical="center"/>
    </xf>
    <xf numFmtId="9" fontId="4" fillId="0" borderId="59" xfId="57" applyFont="1" applyFill="1" applyBorder="1" applyAlignment="1">
      <alignment vertical="center"/>
    </xf>
    <xf numFmtId="0" fontId="4" fillId="0" borderId="48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6" fillId="0" borderId="0" xfId="0" applyFont="1" applyFill="1" applyAlignment="1">
      <alignment horizontal="right" vertical="center"/>
    </xf>
    <xf numFmtId="3" fontId="4" fillId="34" borderId="63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3" fontId="4" fillId="34" borderId="14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>
      <alignment vertical="center"/>
    </xf>
    <xf numFmtId="3" fontId="4" fillId="34" borderId="29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3" fontId="4" fillId="34" borderId="12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vertical="center" wrapText="1"/>
    </xf>
    <xf numFmtId="171" fontId="3" fillId="34" borderId="18" xfId="0" applyNumberFormat="1" applyFont="1" applyFill="1" applyBorder="1" applyAlignment="1">
      <alignment vertical="center"/>
    </xf>
    <xf numFmtId="171" fontId="3" fillId="34" borderId="23" xfId="0" applyNumberFormat="1" applyFont="1" applyFill="1" applyBorder="1" applyAlignment="1">
      <alignment vertical="center"/>
    </xf>
    <xf numFmtId="171" fontId="3" fillId="34" borderId="48" xfId="0" applyNumberFormat="1" applyFont="1" applyFill="1" applyBorder="1" applyAlignment="1">
      <alignment vertical="center"/>
    </xf>
    <xf numFmtId="171" fontId="3" fillId="34" borderId="65" xfId="0" applyNumberFormat="1" applyFont="1" applyFill="1" applyBorder="1" applyAlignment="1">
      <alignment vertical="center"/>
    </xf>
    <xf numFmtId="171" fontId="3" fillId="34" borderId="16" xfId="0" applyNumberFormat="1" applyFont="1" applyFill="1" applyBorder="1" applyAlignment="1">
      <alignment vertical="center"/>
    </xf>
    <xf numFmtId="4" fontId="3" fillId="34" borderId="31" xfId="0" applyNumberFormat="1" applyFont="1" applyFill="1" applyBorder="1" applyAlignment="1">
      <alignment vertical="center"/>
    </xf>
    <xf numFmtId="4" fontId="3" fillId="34" borderId="33" xfId="0" applyNumberFormat="1" applyFont="1" applyFill="1" applyBorder="1" applyAlignment="1">
      <alignment vertical="center"/>
    </xf>
    <xf numFmtId="171" fontId="4" fillId="34" borderId="13" xfId="0" applyNumberFormat="1" applyFont="1" applyFill="1" applyBorder="1" applyAlignment="1">
      <alignment vertical="center"/>
    </xf>
    <xf numFmtId="171" fontId="4" fillId="34" borderId="11" xfId="0" applyNumberFormat="1" applyFont="1" applyFill="1" applyBorder="1" applyAlignment="1">
      <alignment vertical="center"/>
    </xf>
    <xf numFmtId="171" fontId="4" fillId="34" borderId="12" xfId="0" applyNumberFormat="1" applyFont="1" applyFill="1" applyBorder="1" applyAlignment="1">
      <alignment vertical="center"/>
    </xf>
    <xf numFmtId="171" fontId="4" fillId="34" borderId="37" xfId="0" applyNumberFormat="1" applyFont="1" applyFill="1" applyBorder="1" applyAlignment="1">
      <alignment vertical="center"/>
    </xf>
    <xf numFmtId="171" fontId="4" fillId="34" borderId="5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3" fontId="4" fillId="0" borderId="61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77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4" fillId="0" borderId="66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9" fontId="4" fillId="0" borderId="77" xfId="57" applyFont="1" applyFill="1" applyBorder="1" applyAlignment="1">
      <alignment horizontal="center" vertical="center"/>
    </xf>
    <xf numFmtId="9" fontId="4" fillId="0" borderId="78" xfId="57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2" fontId="4" fillId="34" borderId="0" xfId="0" applyNumberFormat="1" applyFont="1" applyFill="1" applyAlignment="1">
      <alignment horizontal="right" vertical="center"/>
    </xf>
    <xf numFmtId="169" fontId="4" fillId="0" borderId="71" xfId="0" applyNumberFormat="1" applyFont="1" applyFill="1" applyBorder="1" applyAlignment="1">
      <alignment horizontal="center"/>
    </xf>
    <xf numFmtId="169" fontId="4" fillId="0" borderId="3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34" borderId="25" xfId="0" applyNumberFormat="1" applyFont="1" applyFill="1" applyBorder="1" applyAlignment="1">
      <alignment horizontal="center"/>
    </xf>
    <xf numFmtId="1" fontId="4" fillId="34" borderId="79" xfId="0" applyNumberFormat="1" applyFont="1" applyFill="1" applyBorder="1" applyAlignment="1">
      <alignment horizontal="center"/>
    </xf>
    <xf numFmtId="1" fontId="4" fillId="34" borderId="49" xfId="0" applyNumberFormat="1" applyFont="1" applyFill="1" applyBorder="1" applyAlignment="1">
      <alignment horizontal="center"/>
    </xf>
    <xf numFmtId="3" fontId="4" fillId="0" borderId="60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9" fontId="4" fillId="0" borderId="79" xfId="57" applyFont="1" applyFill="1" applyBorder="1" applyAlignment="1">
      <alignment horizontal="center" vertical="center"/>
    </xf>
    <xf numFmtId="9" fontId="4" fillId="0" borderId="55" xfId="57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47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hlova\&#1052;&#1086;&#1080;%20&#1076;&#1086;&#1082;&#1091;&#1084;&#1077;&#1085;&#1090;&#1099;\&#1056;&#1040;&#1041;&#1054;&#1058;&#1040;%20&#1089;%2001%20&#1089;&#1077;&#1085;&#1090;&#1103;&#1073;&#1088;&#1103;\&#1043;&#1054;&#1044;&#1054;&#1042;&#1054;&#1049;%20&#1054;&#1058;&#1063;&#1045;&#1058;%20&#1087;&#1086;%20&#1080;&#1089;&#1087;.&#1090;&#1072;&#1088;.&#1089;&#1084;&#1077;&#1090;\2015&#1075;\&#1048;&#1089;&#1087;.&#1090;&#1072;&#1088;.&#1089;&#1084;&#1077;&#1090;&#1099;%20&#1079;&#1072;%202015%20&#1075;&#1086;&#1076;%20&#1075;.&#1055;&#1072;&#1074;&#1083;&#1086;&#1076;&#1072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hlova\&#1052;&#1086;&#1080;%20&#1076;&#1086;&#1082;&#1091;&#1084;&#1077;&#1085;&#1090;&#1099;\&#1056;&#1040;&#1041;&#1054;&#1058;&#1040;%20&#1089;%2001%20&#1089;&#1077;&#1085;&#1090;&#1103;&#1073;&#1088;&#1103;\&#1040;&#1085;&#1072;&#1083;&#1080;&#1079;%20&#1086;&#1073;&#1098;&#1077;&#1084;&#1086;&#1074;%20&#1080;%20&#1076;&#1086;&#1093;&#1086;&#1076;&#1086;&#1074;%20&#1087;&#1086;%20&#1087;&#1086;&#1090;&#1088;&#1077;&#1073;&#1080;&#1090;&#1077;&#1083;&#1103;&#1084;\2015%20&#1075;&#1086;&#1076;\&#1050;&#1086;&#1087;&#1080;&#1103;%20&#1055;&#1083;&#1072;&#1085;%20&#1076;&#1086;&#1093;&#1086;&#1076;&#1086;&#1074;%20&#1080;%20&#1088;&#1072;&#1089;&#1093;&#1086;&#1076;&#1086;&#1074;%20&#1085;&#1072;%202015%20&#1075;&#1086;&#1076;%20&#1087;&#1086;%20&#1090;&#1072;&#1088;&#1080;&#1092;%20&#1089;&#1084;&#1077;&#1090;&#1077;%20&#1085;&#1086;&#1088;&#1084;&#1072;%200,2%20&#1089;%20&#1063;&#1056;&#1052;%20&#1089;%2001.01.15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.см.АМК г.Павлодар факт"/>
      <sheetName val="Тар.см.АМК г.Павл факт свернут"/>
    </sheetNames>
    <sheetDataSet>
      <sheetData sheetId="0">
        <row r="26">
          <cell r="K26">
            <v>2085016.2058116063</v>
          </cell>
          <cell r="L26">
            <v>320541.5841586933</v>
          </cell>
        </row>
        <row r="27">
          <cell r="O27">
            <v>24936.76647</v>
          </cell>
        </row>
        <row r="28">
          <cell r="M28">
            <v>11868.6918</v>
          </cell>
          <cell r="N28">
            <v>658050.16716</v>
          </cell>
        </row>
        <row r="29">
          <cell r="K29">
            <v>2125667.6087116804</v>
          </cell>
          <cell r="L29">
            <v>404209.63743966253</v>
          </cell>
        </row>
        <row r="34">
          <cell r="J34">
            <v>2006.9989873245686</v>
          </cell>
        </row>
        <row r="35">
          <cell r="J35">
            <v>29.25045468</v>
          </cell>
        </row>
        <row r="38">
          <cell r="J38">
            <v>106683.76228816589</v>
          </cell>
        </row>
        <row r="39">
          <cell r="J39">
            <v>10945.238969971235</v>
          </cell>
        </row>
        <row r="40">
          <cell r="J40">
            <v>4982.563784589808</v>
          </cell>
        </row>
        <row r="43">
          <cell r="J43">
            <v>8386.467829732394</v>
          </cell>
        </row>
        <row r="44">
          <cell r="J44">
            <v>100.94330024999996</v>
          </cell>
        </row>
        <row r="47">
          <cell r="J47">
            <v>545.4054251099999</v>
          </cell>
        </row>
        <row r="48">
          <cell r="J48">
            <v>1514.096149455735</v>
          </cell>
        </row>
        <row r="49">
          <cell r="J49">
            <v>1139.0913044591734</v>
          </cell>
        </row>
        <row r="51">
          <cell r="J51">
            <v>10733.786206947583</v>
          </cell>
        </row>
        <row r="52">
          <cell r="J52">
            <v>3244.438752376747</v>
          </cell>
        </row>
        <row r="55">
          <cell r="J55">
            <v>3.4000651029999998</v>
          </cell>
        </row>
        <row r="56">
          <cell r="J56">
            <v>121.05791948249998</v>
          </cell>
        </row>
        <row r="57">
          <cell r="J57">
            <v>537.0081566062995</v>
          </cell>
        </row>
        <row r="58">
          <cell r="J58">
            <v>4256.246739304678</v>
          </cell>
        </row>
        <row r="59">
          <cell r="J59">
            <v>144.10785814999997</v>
          </cell>
        </row>
        <row r="61">
          <cell r="J61">
            <v>285.26500760000005</v>
          </cell>
        </row>
        <row r="62">
          <cell r="J62">
            <v>204.47012385</v>
          </cell>
        </row>
        <row r="63">
          <cell r="J63">
            <v>564.106842</v>
          </cell>
        </row>
        <row r="69">
          <cell r="K69">
            <v>4110631.526107844</v>
          </cell>
          <cell r="L69">
            <v>694070.1808646015</v>
          </cell>
          <cell r="M69">
            <v>12005.453880000001</v>
          </cell>
          <cell r="N69">
            <v>665892.3997199999</v>
          </cell>
          <cell r="O69">
            <v>26169.368679999996</v>
          </cell>
        </row>
        <row r="71">
          <cell r="K71">
            <v>1941.8779160550002</v>
          </cell>
          <cell r="L71">
            <v>360.14261200500005</v>
          </cell>
          <cell r="M71">
            <v>2.828</v>
          </cell>
          <cell r="N71">
            <v>234.877</v>
          </cell>
          <cell r="O71">
            <v>25.5</v>
          </cell>
        </row>
        <row r="76">
          <cell r="K76">
            <v>1110.0405170000001</v>
          </cell>
          <cell r="L76">
            <v>322.427584</v>
          </cell>
        </row>
        <row r="77">
          <cell r="K77">
            <v>831.837399055</v>
          </cell>
          <cell r="L77">
            <v>37.71502800499999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 и рас по дифф.тарифам "/>
      <sheetName val="Дох и рас по теплу по среднему "/>
    </sheetNames>
    <sheetDataSet>
      <sheetData sheetId="1">
        <row r="125">
          <cell r="FX125">
            <v>30.8</v>
          </cell>
        </row>
        <row r="127">
          <cell r="GC127">
            <v>132295.85599999997</v>
          </cell>
        </row>
        <row r="191">
          <cell r="FX191">
            <v>124.40199999999999</v>
          </cell>
        </row>
        <row r="193">
          <cell r="GC193">
            <v>354564.36029999994</v>
          </cell>
        </row>
        <row r="194">
          <cell r="FX194">
            <v>14.888810000000001</v>
          </cell>
        </row>
        <row r="196">
          <cell r="GC196">
            <v>14766.8706461</v>
          </cell>
        </row>
        <row r="203">
          <cell r="FX203">
            <v>467.06665999999996</v>
          </cell>
        </row>
        <row r="205">
          <cell r="GC205">
            <v>506846.72743220004</v>
          </cell>
          <cell r="GD205">
            <v>517818.1232756</v>
          </cell>
        </row>
        <row r="215">
          <cell r="FX215">
            <v>133.40300000000002</v>
          </cell>
        </row>
        <row r="217">
          <cell r="GC217">
            <v>144764.93351</v>
          </cell>
          <cell r="GD217">
            <v>151524.46352</v>
          </cell>
        </row>
        <row r="230">
          <cell r="FX230">
            <v>359.25733999999994</v>
          </cell>
        </row>
        <row r="232">
          <cell r="GC232">
            <v>389855.2876478</v>
          </cell>
          <cell r="GD232">
            <v>398294.2425644</v>
          </cell>
        </row>
        <row r="242">
          <cell r="FX242">
            <v>15.834000000000001</v>
          </cell>
        </row>
        <row r="244">
          <cell r="GC244">
            <v>17182.58178</v>
          </cell>
          <cell r="GD244">
            <v>17984.890559999996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AD104"/>
  <sheetViews>
    <sheetView tabSelected="1" view="pageBreakPreview" zoomScale="75" zoomScaleSheetLayoutView="75" zoomScalePageLayoutView="0" workbookViewId="0" topLeftCell="A1">
      <pane xSplit="3" ySplit="18" topLeftCell="D1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100" sqref="E100"/>
    </sheetView>
  </sheetViews>
  <sheetFormatPr defaultColWidth="9.00390625" defaultRowHeight="12.75" outlineLevelRow="1"/>
  <cols>
    <col min="1" max="1" width="8.25390625" style="14" customWidth="1"/>
    <col min="2" max="2" width="55.375" style="14" customWidth="1"/>
    <col min="3" max="3" width="11.00390625" style="14" customWidth="1"/>
    <col min="4" max="4" width="13.00390625" style="14" customWidth="1"/>
    <col min="5" max="5" width="12.75390625" style="14" customWidth="1"/>
    <col min="6" max="6" width="12.625" style="14" customWidth="1"/>
    <col min="7" max="7" width="11.75390625" style="14" customWidth="1"/>
    <col min="8" max="9" width="11.375" style="14" customWidth="1"/>
    <col min="10" max="10" width="13.25390625" style="14" customWidth="1"/>
    <col min="11" max="11" width="12.875" style="14" customWidth="1"/>
    <col min="12" max="12" width="12.00390625" style="14" customWidth="1"/>
    <col min="13" max="13" width="11.625" style="14" customWidth="1"/>
    <col min="14" max="14" width="12.00390625" style="14" customWidth="1"/>
    <col min="15" max="15" width="12.375" style="14" customWidth="1"/>
    <col min="16" max="16" width="0" style="14" hidden="1" customWidth="1"/>
    <col min="17" max="17" width="14.75390625" style="14" hidden="1" customWidth="1"/>
    <col min="18" max="18" width="13.00390625" style="14" hidden="1" customWidth="1"/>
    <col min="19" max="19" width="11.375" style="14" hidden="1" customWidth="1"/>
    <col min="20" max="20" width="13.25390625" style="14" hidden="1" customWidth="1"/>
    <col min="21" max="21" width="11.125" style="14" hidden="1" customWidth="1"/>
    <col min="22" max="22" width="11.75390625" style="14" customWidth="1"/>
    <col min="23" max="23" width="12.125" style="14" customWidth="1"/>
    <col min="24" max="24" width="12.375" style="14" customWidth="1"/>
    <col min="25" max="25" width="11.25390625" style="14" customWidth="1"/>
    <col min="26" max="27" width="10.875" style="14" customWidth="1"/>
    <col min="28" max="28" width="45.625" style="14" customWidth="1"/>
    <col min="29" max="29" width="9.875" style="14" bestFit="1" customWidth="1"/>
    <col min="30" max="16384" width="9.125" style="14" customWidth="1"/>
  </cols>
  <sheetData>
    <row r="1" spans="24:28" ht="18.75">
      <c r="X1" s="375" t="s">
        <v>119</v>
      </c>
      <c r="Y1" s="375"/>
      <c r="Z1" s="375"/>
      <c r="AA1" s="375"/>
      <c r="AB1" s="375"/>
    </row>
    <row r="2" spans="24:28" ht="18.75">
      <c r="X2" s="375" t="s">
        <v>120</v>
      </c>
      <c r="Y2" s="375"/>
      <c r="Z2" s="375"/>
      <c r="AA2" s="375"/>
      <c r="AB2" s="375"/>
    </row>
    <row r="3" spans="24:28" ht="18.75">
      <c r="X3" s="375" t="s">
        <v>121</v>
      </c>
      <c r="Y3" s="375"/>
      <c r="Z3" s="375"/>
      <c r="AA3" s="375"/>
      <c r="AB3" s="375"/>
    </row>
    <row r="4" spans="24:28" ht="18.75">
      <c r="X4" s="375" t="s">
        <v>122</v>
      </c>
      <c r="Y4" s="375"/>
      <c r="Z4" s="375"/>
      <c r="AA4" s="375"/>
      <c r="AB4" s="375"/>
    </row>
    <row r="5" spans="24:28" ht="18.75">
      <c r="X5" s="376" t="s">
        <v>123</v>
      </c>
      <c r="Y5" s="376"/>
      <c r="Z5" s="376"/>
      <c r="AA5" s="376"/>
      <c r="AB5" s="376"/>
    </row>
    <row r="8" spans="1:23" ht="18.75">
      <c r="A8" s="190"/>
      <c r="B8" s="191"/>
      <c r="C8" s="192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"/>
      <c r="O8" s="1"/>
      <c r="W8" s="343"/>
    </row>
    <row r="9" spans="1:15" ht="18.75">
      <c r="A9" s="194"/>
      <c r="B9" s="414" t="s">
        <v>94</v>
      </c>
      <c r="C9" s="414"/>
      <c r="D9" s="414"/>
      <c r="E9" s="414"/>
      <c r="F9" s="414"/>
      <c r="G9" s="414"/>
      <c r="H9" s="193"/>
      <c r="I9" s="193"/>
      <c r="J9" s="193"/>
      <c r="K9" s="193"/>
      <c r="L9" s="193"/>
      <c r="M9" s="193"/>
      <c r="N9" s="1"/>
      <c r="O9" s="1"/>
    </row>
    <row r="10" spans="1:15" ht="18.75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5"/>
      <c r="L10" s="194"/>
      <c r="M10" s="194"/>
      <c r="N10" s="3"/>
      <c r="O10" s="3"/>
    </row>
    <row r="11" spans="1:15" ht="18.75">
      <c r="A11" s="190"/>
      <c r="B11" s="415" t="s">
        <v>103</v>
      </c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3"/>
      <c r="O11" s="3"/>
    </row>
    <row r="12" spans="1:30" ht="19.5" thickBot="1">
      <c r="A12" s="125"/>
      <c r="B12" s="126"/>
      <c r="C12" s="2"/>
      <c r="D12" s="3"/>
      <c r="E12" s="3"/>
      <c r="F12" s="1"/>
      <c r="G12" s="1"/>
      <c r="H12" s="1"/>
      <c r="I12" s="1"/>
      <c r="J12" s="1"/>
      <c r="K12" s="3"/>
      <c r="L12" s="1"/>
      <c r="M12" s="1"/>
      <c r="N12" s="230"/>
      <c r="O12" s="230"/>
      <c r="AA12" s="337"/>
      <c r="AB12" s="364" t="s">
        <v>75</v>
      </c>
      <c r="AC12" s="337"/>
      <c r="AD12" s="363"/>
    </row>
    <row r="13" spans="1:28" ht="46.5" customHeight="1" thickBot="1">
      <c r="A13" s="399" t="s">
        <v>0</v>
      </c>
      <c r="B13" s="399" t="s">
        <v>116</v>
      </c>
      <c r="C13" s="416" t="s">
        <v>88</v>
      </c>
      <c r="D13" s="396" t="s">
        <v>138</v>
      </c>
      <c r="E13" s="397"/>
      <c r="F13" s="397"/>
      <c r="G13" s="397"/>
      <c r="H13" s="397"/>
      <c r="I13" s="398"/>
      <c r="J13" s="427" t="s">
        <v>117</v>
      </c>
      <c r="K13" s="428"/>
      <c r="L13" s="428"/>
      <c r="M13" s="428"/>
      <c r="N13" s="428"/>
      <c r="O13" s="416"/>
      <c r="P13" s="396" t="s">
        <v>118</v>
      </c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8"/>
      <c r="AB13" s="399" t="s">
        <v>104</v>
      </c>
    </row>
    <row r="14" spans="1:28" ht="15" customHeight="1" thickBot="1">
      <c r="A14" s="400"/>
      <c r="B14" s="400"/>
      <c r="C14" s="417"/>
      <c r="D14" s="399" t="s">
        <v>76</v>
      </c>
      <c r="E14" s="419" t="s">
        <v>77</v>
      </c>
      <c r="F14" s="421"/>
      <c r="G14" s="419" t="s">
        <v>78</v>
      </c>
      <c r="H14" s="420"/>
      <c r="I14" s="421"/>
      <c r="J14" s="399" t="s">
        <v>76</v>
      </c>
      <c r="K14" s="419" t="s">
        <v>77</v>
      </c>
      <c r="L14" s="421"/>
      <c r="M14" s="419" t="s">
        <v>78</v>
      </c>
      <c r="N14" s="420"/>
      <c r="O14" s="421"/>
      <c r="P14" s="402" t="s">
        <v>105</v>
      </c>
      <c r="Q14" s="405" t="s">
        <v>106</v>
      </c>
      <c r="R14" s="406"/>
      <c r="S14" s="406"/>
      <c r="T14" s="406"/>
      <c r="U14" s="407"/>
      <c r="V14" s="402" t="s">
        <v>107</v>
      </c>
      <c r="W14" s="405" t="s">
        <v>106</v>
      </c>
      <c r="X14" s="406"/>
      <c r="Y14" s="406"/>
      <c r="Z14" s="406"/>
      <c r="AA14" s="407"/>
      <c r="AB14" s="400"/>
    </row>
    <row r="15" spans="1:28" ht="75.75" customHeight="1" thickBot="1">
      <c r="A15" s="400"/>
      <c r="B15" s="400"/>
      <c r="C15" s="417"/>
      <c r="D15" s="400"/>
      <c r="E15" s="429"/>
      <c r="F15" s="430"/>
      <c r="G15" s="422"/>
      <c r="H15" s="423"/>
      <c r="I15" s="424"/>
      <c r="J15" s="400"/>
      <c r="K15" s="429"/>
      <c r="L15" s="430"/>
      <c r="M15" s="422"/>
      <c r="N15" s="423"/>
      <c r="O15" s="424"/>
      <c r="P15" s="403"/>
      <c r="Q15" s="408" t="s">
        <v>108</v>
      </c>
      <c r="R15" s="409"/>
      <c r="S15" s="412" t="s">
        <v>109</v>
      </c>
      <c r="T15" s="413"/>
      <c r="U15" s="382"/>
      <c r="V15" s="403"/>
      <c r="W15" s="408" t="s">
        <v>108</v>
      </c>
      <c r="X15" s="409"/>
      <c r="Y15" s="412" t="s">
        <v>109</v>
      </c>
      <c r="Z15" s="413"/>
      <c r="AA15" s="382"/>
      <c r="AB15" s="400"/>
    </row>
    <row r="16" spans="1:28" ht="36.75" customHeight="1" thickBot="1">
      <c r="A16" s="400"/>
      <c r="B16" s="400"/>
      <c r="C16" s="417"/>
      <c r="D16" s="400"/>
      <c r="E16" s="422"/>
      <c r="F16" s="424"/>
      <c r="G16" s="425" t="s">
        <v>79</v>
      </c>
      <c r="H16" s="406" t="s">
        <v>80</v>
      </c>
      <c r="I16" s="407"/>
      <c r="J16" s="400"/>
      <c r="K16" s="422"/>
      <c r="L16" s="424"/>
      <c r="M16" s="425" t="s">
        <v>79</v>
      </c>
      <c r="N16" s="406" t="s">
        <v>80</v>
      </c>
      <c r="O16" s="407"/>
      <c r="P16" s="403"/>
      <c r="Q16" s="410"/>
      <c r="R16" s="411"/>
      <c r="S16" s="379" t="s">
        <v>79</v>
      </c>
      <c r="T16" s="381" t="s">
        <v>80</v>
      </c>
      <c r="U16" s="382"/>
      <c r="V16" s="403"/>
      <c r="W16" s="410"/>
      <c r="X16" s="411"/>
      <c r="Y16" s="379" t="s">
        <v>79</v>
      </c>
      <c r="Z16" s="381" t="s">
        <v>80</v>
      </c>
      <c r="AA16" s="382"/>
      <c r="AB16" s="400"/>
    </row>
    <row r="17" spans="1:28" ht="41.25" customHeight="1" thickBot="1">
      <c r="A17" s="401"/>
      <c r="B17" s="401"/>
      <c r="C17" s="418"/>
      <c r="D17" s="401"/>
      <c r="E17" s="34" t="s">
        <v>81</v>
      </c>
      <c r="F17" s="33" t="s">
        <v>82</v>
      </c>
      <c r="G17" s="426"/>
      <c r="H17" s="34" t="s">
        <v>83</v>
      </c>
      <c r="I17" s="33" t="s">
        <v>84</v>
      </c>
      <c r="J17" s="401"/>
      <c r="K17" s="34" t="s">
        <v>81</v>
      </c>
      <c r="L17" s="33" t="s">
        <v>82</v>
      </c>
      <c r="M17" s="426"/>
      <c r="N17" s="34" t="s">
        <v>83</v>
      </c>
      <c r="O17" s="33" t="s">
        <v>84</v>
      </c>
      <c r="P17" s="404"/>
      <c r="Q17" s="34" t="s">
        <v>81</v>
      </c>
      <c r="R17" s="33" t="s">
        <v>82</v>
      </c>
      <c r="S17" s="380"/>
      <c r="T17" s="235" t="s">
        <v>83</v>
      </c>
      <c r="U17" s="33" t="s">
        <v>84</v>
      </c>
      <c r="V17" s="404"/>
      <c r="W17" s="34" t="s">
        <v>81</v>
      </c>
      <c r="X17" s="33" t="s">
        <v>82</v>
      </c>
      <c r="Y17" s="380"/>
      <c r="Z17" s="235" t="s">
        <v>83</v>
      </c>
      <c r="AA17" s="33" t="s">
        <v>84</v>
      </c>
      <c r="AB17" s="401"/>
    </row>
    <row r="18" spans="1:28" ht="19.5" thickBot="1">
      <c r="A18" s="77">
        <v>1</v>
      </c>
      <c r="B18" s="67">
        <v>2</v>
      </c>
      <c r="C18" s="67">
        <v>3</v>
      </c>
      <c r="D18" s="77">
        <v>4</v>
      </c>
      <c r="E18" s="78">
        <v>5</v>
      </c>
      <c r="F18" s="79">
        <v>6</v>
      </c>
      <c r="G18" s="77">
        <v>7</v>
      </c>
      <c r="H18" s="80">
        <v>8</v>
      </c>
      <c r="I18" s="81">
        <v>9</v>
      </c>
      <c r="J18" s="77">
        <v>10</v>
      </c>
      <c r="K18" s="82">
        <v>11</v>
      </c>
      <c r="L18" s="79">
        <v>12</v>
      </c>
      <c r="M18" s="77">
        <v>13</v>
      </c>
      <c r="N18" s="80">
        <v>14</v>
      </c>
      <c r="O18" s="79">
        <v>15</v>
      </c>
      <c r="P18" s="77">
        <v>16</v>
      </c>
      <c r="Q18" s="78">
        <v>17</v>
      </c>
      <c r="R18" s="236">
        <v>18</v>
      </c>
      <c r="S18" s="237">
        <v>19</v>
      </c>
      <c r="T18" s="80">
        <v>20</v>
      </c>
      <c r="U18" s="236">
        <v>21</v>
      </c>
      <c r="V18" s="79">
        <v>16</v>
      </c>
      <c r="W18" s="80">
        <v>17</v>
      </c>
      <c r="X18" s="238">
        <v>18</v>
      </c>
      <c r="Y18" s="237">
        <v>19</v>
      </c>
      <c r="Z18" s="80">
        <v>20</v>
      </c>
      <c r="AA18" s="79">
        <v>21</v>
      </c>
      <c r="AB18" s="77">
        <v>22</v>
      </c>
    </row>
    <row r="19" spans="1:28" ht="37.5" customHeight="1">
      <c r="A19" s="83" t="s">
        <v>12</v>
      </c>
      <c r="B19" s="95" t="s">
        <v>13</v>
      </c>
      <c r="C19" s="66" t="s">
        <v>14</v>
      </c>
      <c r="D19" s="35">
        <f aca="true" t="shared" si="0" ref="D19:O19">D21</f>
        <v>2645898.3372361</v>
      </c>
      <c r="E19" s="36">
        <f t="shared" si="0"/>
        <v>1812814.3809200001</v>
      </c>
      <c r="F19" s="37">
        <f t="shared" si="0"/>
        <v>331456.86937</v>
      </c>
      <c r="G19" s="35">
        <f t="shared" si="0"/>
        <v>132295.85599999997</v>
      </c>
      <c r="H19" s="36">
        <f t="shared" si="0"/>
        <v>354564.36029999994</v>
      </c>
      <c r="I19" s="37">
        <f t="shared" si="0"/>
        <v>14766.8706461</v>
      </c>
      <c r="J19" s="231">
        <f t="shared" si="0"/>
        <v>2368400.197737092</v>
      </c>
      <c r="K19" s="36">
        <f t="shared" si="0"/>
        <v>1754278.3047602565</v>
      </c>
      <c r="L19" s="37">
        <f t="shared" si="0"/>
        <v>313770.25968683587</v>
      </c>
      <c r="M19" s="38">
        <f t="shared" si="0"/>
        <v>0</v>
      </c>
      <c r="N19" s="39">
        <f t="shared" si="0"/>
        <v>293628.15329999995</v>
      </c>
      <c r="O19" s="37">
        <f t="shared" si="0"/>
        <v>6723.47999</v>
      </c>
      <c r="P19" s="38">
        <f aca="true" t="shared" si="1" ref="P19:U21">J19-D19</f>
        <v>-277498.1394990077</v>
      </c>
      <c r="Q19" s="36">
        <f t="shared" si="1"/>
        <v>-58536.07615974359</v>
      </c>
      <c r="R19" s="239">
        <f t="shared" si="1"/>
        <v>-17686.609683164104</v>
      </c>
      <c r="S19" s="38">
        <f t="shared" si="1"/>
        <v>-132295.85599999997</v>
      </c>
      <c r="T19" s="36">
        <f t="shared" si="1"/>
        <v>-60936.206999999995</v>
      </c>
      <c r="U19" s="239">
        <f t="shared" si="1"/>
        <v>-8043.3906561</v>
      </c>
      <c r="V19" s="286">
        <f aca="true" t="shared" si="2" ref="V19:AA19">J19/D19-1</f>
        <v>-0.10487860988222308</v>
      </c>
      <c r="W19" s="240">
        <f t="shared" si="2"/>
        <v>-0.03229016537812146</v>
      </c>
      <c r="X19" s="241">
        <f t="shared" si="2"/>
        <v>-0.05336021460886009</v>
      </c>
      <c r="Y19" s="242">
        <f t="shared" si="2"/>
        <v>-1</v>
      </c>
      <c r="Z19" s="240">
        <f t="shared" si="2"/>
        <v>-0.1718621887107924</v>
      </c>
      <c r="AA19" s="242">
        <f t="shared" si="2"/>
        <v>-0.5446916173958832</v>
      </c>
      <c r="AB19" s="295"/>
    </row>
    <row r="20" spans="1:28" ht="20.25" customHeight="1">
      <c r="A20" s="10"/>
      <c r="B20" s="11" t="s">
        <v>15</v>
      </c>
      <c r="C20" s="12"/>
      <c r="D20" s="40"/>
      <c r="E20" s="5"/>
      <c r="F20" s="41"/>
      <c r="G20" s="40"/>
      <c r="H20" s="5"/>
      <c r="I20" s="6"/>
      <c r="J20" s="211"/>
      <c r="K20" s="5"/>
      <c r="L20" s="41"/>
      <c r="M20" s="13"/>
      <c r="N20" s="42"/>
      <c r="O20" s="41"/>
      <c r="P20" s="13"/>
      <c r="Q20" s="5"/>
      <c r="R20" s="6"/>
      <c r="S20" s="13"/>
      <c r="T20" s="5"/>
      <c r="U20" s="6"/>
      <c r="V20" s="288"/>
      <c r="W20" s="243"/>
      <c r="X20" s="244"/>
      <c r="Y20" s="245"/>
      <c r="Z20" s="243"/>
      <c r="AA20" s="245"/>
      <c r="AB20" s="296"/>
    </row>
    <row r="21" spans="1:28" ht="18.75">
      <c r="A21" s="96">
        <v>1</v>
      </c>
      <c r="B21" s="97" t="s">
        <v>16</v>
      </c>
      <c r="C21" s="98" t="s">
        <v>17</v>
      </c>
      <c r="D21" s="43">
        <f aca="true" t="shared" si="3" ref="D21:O21">D23+D24+D25+D26</f>
        <v>2645898.3372361</v>
      </c>
      <c r="E21" s="8">
        <f t="shared" si="3"/>
        <v>1812814.3809200001</v>
      </c>
      <c r="F21" s="44">
        <f t="shared" si="3"/>
        <v>331456.86937</v>
      </c>
      <c r="G21" s="43">
        <f t="shared" si="3"/>
        <v>132295.85599999997</v>
      </c>
      <c r="H21" s="8">
        <f t="shared" si="3"/>
        <v>354564.36029999994</v>
      </c>
      <c r="I21" s="44">
        <f t="shared" si="3"/>
        <v>14766.8706461</v>
      </c>
      <c r="J21" s="212">
        <f t="shared" si="3"/>
        <v>2368400.197737092</v>
      </c>
      <c r="K21" s="8">
        <f t="shared" si="3"/>
        <v>1754278.3047602565</v>
      </c>
      <c r="L21" s="44">
        <f t="shared" si="3"/>
        <v>313770.25968683587</v>
      </c>
      <c r="M21" s="9">
        <f t="shared" si="3"/>
        <v>0</v>
      </c>
      <c r="N21" s="45">
        <f t="shared" si="3"/>
        <v>293628.15329999995</v>
      </c>
      <c r="O21" s="44">
        <f t="shared" si="3"/>
        <v>6723.47999</v>
      </c>
      <c r="P21" s="9">
        <f>J21-D21</f>
        <v>-277498.1394990077</v>
      </c>
      <c r="Q21" s="8">
        <f t="shared" si="1"/>
        <v>-58536.07615974359</v>
      </c>
      <c r="R21" s="15">
        <f t="shared" si="1"/>
        <v>-17686.609683164104</v>
      </c>
      <c r="S21" s="9">
        <f t="shared" si="1"/>
        <v>-132295.85599999997</v>
      </c>
      <c r="T21" s="8">
        <f t="shared" si="1"/>
        <v>-60936.206999999995</v>
      </c>
      <c r="U21" s="15">
        <f t="shared" si="1"/>
        <v>-8043.3906561</v>
      </c>
      <c r="V21" s="287">
        <f aca="true" t="shared" si="4" ref="V21:AA21">J21/D21-1</f>
        <v>-0.10487860988222308</v>
      </c>
      <c r="W21" s="255">
        <f t="shared" si="4"/>
        <v>-0.03229016537812146</v>
      </c>
      <c r="X21" s="256">
        <f t="shared" si="4"/>
        <v>-0.05336021460886009</v>
      </c>
      <c r="Y21" s="254">
        <f t="shared" si="4"/>
        <v>-1</v>
      </c>
      <c r="Z21" s="255">
        <f t="shared" si="4"/>
        <v>-0.1718621887107924</v>
      </c>
      <c r="AA21" s="254">
        <f t="shared" si="4"/>
        <v>-0.5446916173958832</v>
      </c>
      <c r="AB21" s="296"/>
    </row>
    <row r="22" spans="1:28" ht="21" customHeight="1">
      <c r="A22" s="10"/>
      <c r="B22" s="11" t="s">
        <v>15</v>
      </c>
      <c r="C22" s="12" t="s">
        <v>17</v>
      </c>
      <c r="D22" s="40"/>
      <c r="E22" s="5"/>
      <c r="F22" s="41"/>
      <c r="G22" s="40"/>
      <c r="H22" s="5"/>
      <c r="I22" s="6"/>
      <c r="J22" s="211"/>
      <c r="K22" s="5"/>
      <c r="L22" s="41"/>
      <c r="M22" s="13"/>
      <c r="N22" s="42"/>
      <c r="O22" s="41"/>
      <c r="P22" s="13"/>
      <c r="Q22" s="5"/>
      <c r="R22" s="6"/>
      <c r="S22" s="13"/>
      <c r="T22" s="5"/>
      <c r="U22" s="6"/>
      <c r="V22" s="287"/>
      <c r="W22" s="255"/>
      <c r="X22" s="256"/>
      <c r="Y22" s="254"/>
      <c r="Z22" s="255"/>
      <c r="AA22" s="254"/>
      <c r="AB22" s="296"/>
    </row>
    <row r="23" spans="1:28" ht="37.5">
      <c r="A23" s="10" t="s">
        <v>1</v>
      </c>
      <c r="B23" s="11" t="s">
        <v>18</v>
      </c>
      <c r="C23" s="12" t="s">
        <v>17</v>
      </c>
      <c r="D23" s="211">
        <f>E23+F23+G23+H23+I23</f>
        <v>1058649.53037</v>
      </c>
      <c r="E23" s="339">
        <f>'[2]Дох и рас по теплу по среднему '!$GC$205+'[2]Дох и рас по теплу по среднему '!$GC$232</f>
        <v>896702.01508</v>
      </c>
      <c r="F23" s="340">
        <f>'[2]Дох и рас по теплу по среднему '!$GC$217+'[2]Дох и рас по теплу по среднему '!$GC$244</f>
        <v>161947.51529</v>
      </c>
      <c r="G23" s="211">
        <v>0</v>
      </c>
      <c r="H23" s="339">
        <v>0</v>
      </c>
      <c r="I23" s="348">
        <v>0</v>
      </c>
      <c r="J23" s="211">
        <f>K23+L23+M23+N23+O23</f>
        <v>1020221.6559741296</v>
      </c>
      <c r="K23" s="5">
        <f>'[1]Тар.см.АМК г.Павлодар факт'!$K$26-1207415.22168561</f>
        <v>877600.9841259962</v>
      </c>
      <c r="L23" s="41">
        <f>'[1]Тар.см.АМК г.Павлодар факт'!$L$26-177920.91231056</f>
        <v>142620.67184813332</v>
      </c>
      <c r="M23" s="40">
        <v>0</v>
      </c>
      <c r="N23" s="5">
        <v>0</v>
      </c>
      <c r="O23" s="6">
        <v>0</v>
      </c>
      <c r="P23" s="13">
        <f>J23-D23</f>
        <v>-38427.87439587049</v>
      </c>
      <c r="Q23" s="5">
        <f>K23-E23</f>
        <v>-19101.0309540038</v>
      </c>
      <c r="R23" s="6">
        <f>L23-F23</f>
        <v>-19326.843441866687</v>
      </c>
      <c r="S23" s="13"/>
      <c r="T23" s="5"/>
      <c r="U23" s="6"/>
      <c r="V23" s="287">
        <f aca="true" t="shared" si="5" ref="V23:V73">J23/D23-1</f>
        <v>-0.03629895758083401</v>
      </c>
      <c r="W23" s="255">
        <f aca="true" t="shared" si="6" ref="W23:W80">K23/E23-1</f>
        <v>-0.021301425259203532</v>
      </c>
      <c r="X23" s="256">
        <f aca="true" t="shared" si="7" ref="X23:X80">L23/F23-1</f>
        <v>-0.11934016651788726</v>
      </c>
      <c r="Y23" s="254"/>
      <c r="Z23" s="255"/>
      <c r="AA23" s="254"/>
      <c r="AB23" s="246"/>
    </row>
    <row r="24" spans="1:28" ht="47.25">
      <c r="A24" s="10" t="s">
        <v>2</v>
      </c>
      <c r="B24" s="11" t="s">
        <v>61</v>
      </c>
      <c r="C24" s="12" t="s">
        <v>17</v>
      </c>
      <c r="D24" s="211">
        <f>E24+F24+G24+H24+I24</f>
        <v>14766.8706461</v>
      </c>
      <c r="E24" s="339">
        <v>0</v>
      </c>
      <c r="F24" s="340">
        <v>0</v>
      </c>
      <c r="G24" s="211">
        <v>0</v>
      </c>
      <c r="H24" s="339">
        <v>0</v>
      </c>
      <c r="I24" s="348">
        <f>'[2]Дох и рас по теплу по среднему '!$GC$196</f>
        <v>14766.8706461</v>
      </c>
      <c r="J24" s="211">
        <f>K24+L24+M24+N24+O24</f>
        <v>6723.47999</v>
      </c>
      <c r="K24" s="5">
        <v>0</v>
      </c>
      <c r="L24" s="41">
        <v>0</v>
      </c>
      <c r="M24" s="40">
        <v>0</v>
      </c>
      <c r="N24" s="5">
        <v>0</v>
      </c>
      <c r="O24" s="6">
        <f>'[1]Тар.см.АМК г.Павлодар факт'!$O$27-18213.28648</f>
        <v>6723.47999</v>
      </c>
      <c r="P24" s="13">
        <f>J24-D24</f>
        <v>-8043.3906561</v>
      </c>
      <c r="Q24" s="5"/>
      <c r="R24" s="6"/>
      <c r="S24" s="13"/>
      <c r="T24" s="5"/>
      <c r="U24" s="6">
        <f>O24-I24</f>
        <v>-8043.3906561</v>
      </c>
      <c r="V24" s="287">
        <f t="shared" si="5"/>
        <v>-0.5446916173958832</v>
      </c>
      <c r="W24" s="255"/>
      <c r="X24" s="256"/>
      <c r="Y24" s="254"/>
      <c r="Z24" s="255"/>
      <c r="AA24" s="254">
        <f aca="true" t="shared" si="8" ref="AA24:AA69">O24/I24-1</f>
        <v>-0.5446916173958832</v>
      </c>
      <c r="AB24" s="246" t="s">
        <v>110</v>
      </c>
    </row>
    <row r="25" spans="1:28" ht="47.25">
      <c r="A25" s="10" t="s">
        <v>62</v>
      </c>
      <c r="B25" s="11" t="s">
        <v>63</v>
      </c>
      <c r="C25" s="12" t="s">
        <v>17</v>
      </c>
      <c r="D25" s="211">
        <f>E25+F25+G25+H25+I25</f>
        <v>486860.2162999999</v>
      </c>
      <c r="E25" s="339">
        <v>0</v>
      </c>
      <c r="F25" s="340">
        <v>0</v>
      </c>
      <c r="G25" s="211">
        <f>'[2]Дох и рас по теплу по среднему '!$GC$127</f>
        <v>132295.85599999997</v>
      </c>
      <c r="H25" s="339">
        <f>'[2]Дох и рас по теплу по среднему '!$GC$193</f>
        <v>354564.36029999994</v>
      </c>
      <c r="I25" s="348">
        <v>0</v>
      </c>
      <c r="J25" s="211">
        <f>K25+L25+M25+N25+O25</f>
        <v>293628.15329999995</v>
      </c>
      <c r="K25" s="5">
        <v>0</v>
      </c>
      <c r="L25" s="41">
        <v>0</v>
      </c>
      <c r="M25" s="40">
        <f>'[1]Тар.см.АМК г.Павлодар факт'!$M$28-11868.6918</f>
        <v>0</v>
      </c>
      <c r="N25" s="5">
        <f>'[1]Тар.см.АМК г.Павлодар факт'!$N$28-364422.01386</f>
        <v>293628.15329999995</v>
      </c>
      <c r="O25" s="6">
        <v>0</v>
      </c>
      <c r="P25" s="13">
        <f>J25-D25</f>
        <v>-193232.06299999997</v>
      </c>
      <c r="Q25" s="5"/>
      <c r="R25" s="6"/>
      <c r="S25" s="13">
        <f>M25-G25</f>
        <v>-132295.85599999997</v>
      </c>
      <c r="T25" s="5">
        <f>N25-H25</f>
        <v>-60936.206999999995</v>
      </c>
      <c r="U25" s="6"/>
      <c r="V25" s="287">
        <f t="shared" si="5"/>
        <v>-0.3968943374928209</v>
      </c>
      <c r="W25" s="255"/>
      <c r="X25" s="256"/>
      <c r="Y25" s="254">
        <f aca="true" t="shared" si="9" ref="Y25:Y69">M25/G25-1</f>
        <v>-1</v>
      </c>
      <c r="Z25" s="255">
        <f aca="true" t="shared" si="10" ref="Z25:Z69">N25/H25-1</f>
        <v>-0.1718621887107924</v>
      </c>
      <c r="AA25" s="254"/>
      <c r="AB25" s="246" t="s">
        <v>111</v>
      </c>
    </row>
    <row r="26" spans="1:28" ht="51.75" customHeight="1">
      <c r="A26" s="10" t="s">
        <v>64</v>
      </c>
      <c r="B26" s="11" t="s">
        <v>19</v>
      </c>
      <c r="C26" s="12" t="s">
        <v>17</v>
      </c>
      <c r="D26" s="211">
        <f>E26+F26+G26+H26+I26</f>
        <v>1085621.71992</v>
      </c>
      <c r="E26" s="339">
        <f>'[2]Дох и рас по теплу по среднему '!$GD$205+'[2]Дох и рас по теплу по среднему '!$GD$232</f>
        <v>916112.3658400001</v>
      </c>
      <c r="F26" s="340">
        <f>'[2]Дох и рас по теплу по среднему '!$GD$217+'[2]Дох и рас по теплу по среднему '!$GD$244</f>
        <v>169509.35408</v>
      </c>
      <c r="G26" s="211">
        <v>0</v>
      </c>
      <c r="H26" s="339">
        <v>0</v>
      </c>
      <c r="I26" s="348">
        <v>0</v>
      </c>
      <c r="J26" s="211">
        <f>K26+L26+M26+N26+O26</f>
        <v>1047826.9084729629</v>
      </c>
      <c r="K26" s="5">
        <f>'[1]Тар.см.АМК г.Павлодар факт'!$K$29-1248990.28807742</f>
        <v>876677.3206342603</v>
      </c>
      <c r="L26" s="41">
        <f>'[1]Тар.см.АМК г.Павлодар факт'!$L$29-233060.04960096</f>
        <v>171149.58783870254</v>
      </c>
      <c r="M26" s="40">
        <v>0</v>
      </c>
      <c r="N26" s="5">
        <v>0</v>
      </c>
      <c r="O26" s="6">
        <v>0</v>
      </c>
      <c r="P26" s="13">
        <f>J26-D26</f>
        <v>-37794.81144703715</v>
      </c>
      <c r="Q26" s="5">
        <f>K26-E26</f>
        <v>-39435.04520573979</v>
      </c>
      <c r="R26" s="6">
        <f>L26-F26</f>
        <v>1640.233758702554</v>
      </c>
      <c r="S26" s="13"/>
      <c r="T26" s="5"/>
      <c r="U26" s="6"/>
      <c r="V26" s="287">
        <f t="shared" si="5"/>
        <v>-0.03481397871242131</v>
      </c>
      <c r="W26" s="255">
        <f t="shared" si="6"/>
        <v>-0.04304607892677126</v>
      </c>
      <c r="X26" s="256">
        <f t="shared" si="7"/>
        <v>0.009676361328876615</v>
      </c>
      <c r="Y26" s="254"/>
      <c r="Z26" s="255"/>
      <c r="AA26" s="254"/>
      <c r="AB26" s="246"/>
    </row>
    <row r="27" spans="1:29" ht="20.25" customHeight="1">
      <c r="A27" s="96" t="s">
        <v>20</v>
      </c>
      <c r="B27" s="97" t="s">
        <v>5</v>
      </c>
      <c r="C27" s="98" t="s">
        <v>17</v>
      </c>
      <c r="D27" s="43">
        <f>SUM(E27:I27)</f>
        <v>62941.700000000004</v>
      </c>
      <c r="E27" s="8">
        <f>E29+E33+E37+E38+E42</f>
        <v>46119.47983915811</v>
      </c>
      <c r="F27" s="44">
        <f aca="true" t="shared" si="11" ref="F27:O27">F29+F33+F37+F38+F42</f>
        <v>8143.595340031803</v>
      </c>
      <c r="G27" s="43">
        <f t="shared" si="11"/>
        <v>1542.4643953776845</v>
      </c>
      <c r="H27" s="8">
        <f t="shared" si="11"/>
        <v>6141.507490706972</v>
      </c>
      <c r="I27" s="15">
        <f t="shared" si="11"/>
        <v>994.6529347254293</v>
      </c>
      <c r="J27" s="212">
        <f>J29+J33+J37+J38+J42-58</f>
        <v>89531.81122307717</v>
      </c>
      <c r="K27" s="8">
        <f>K29+K33+K37+K38+K42-58</f>
        <v>67570.52086439123</v>
      </c>
      <c r="L27" s="44">
        <f t="shared" si="11"/>
        <v>12853.396082040344</v>
      </c>
      <c r="M27" s="9">
        <f t="shared" si="11"/>
        <v>0</v>
      </c>
      <c r="N27" s="45">
        <f t="shared" si="11"/>
        <v>8545.582318636294</v>
      </c>
      <c r="O27" s="44">
        <f t="shared" si="11"/>
        <v>562.3119580093128</v>
      </c>
      <c r="P27" s="9">
        <f>J27-D27</f>
        <v>26590.11122307716</v>
      </c>
      <c r="Q27" s="8">
        <f>K27-E27</f>
        <v>21451.04102523312</v>
      </c>
      <c r="R27" s="15">
        <f>L27-F27</f>
        <v>4709.800742008541</v>
      </c>
      <c r="S27" s="9">
        <f>M27-G27</f>
        <v>-1542.4643953776845</v>
      </c>
      <c r="T27" s="8">
        <f>N27-H27</f>
        <v>2404.074827929322</v>
      </c>
      <c r="U27" s="15">
        <f>O27-I27</f>
        <v>-432.34097671611653</v>
      </c>
      <c r="V27" s="287">
        <f>J27/D27-1</f>
        <v>0.4224561971328573</v>
      </c>
      <c r="W27" s="255">
        <f t="shared" si="6"/>
        <v>0.4651188846891534</v>
      </c>
      <c r="X27" s="256">
        <f t="shared" si="7"/>
        <v>0.5783441521039709</v>
      </c>
      <c r="Y27" s="254">
        <f t="shared" si="9"/>
        <v>-1</v>
      </c>
      <c r="Z27" s="255">
        <f t="shared" si="10"/>
        <v>0.3914470236447729</v>
      </c>
      <c r="AA27" s="254">
        <f t="shared" si="8"/>
        <v>-0.43466515969760133</v>
      </c>
      <c r="AB27" s="296"/>
      <c r="AC27" s="343"/>
    </row>
    <row r="28" spans="1:28" ht="19.5" customHeight="1">
      <c r="A28" s="10"/>
      <c r="B28" s="11" t="s">
        <v>15</v>
      </c>
      <c r="C28" s="12" t="s">
        <v>17</v>
      </c>
      <c r="D28" s="40"/>
      <c r="E28" s="5"/>
      <c r="F28" s="41"/>
      <c r="G28" s="40"/>
      <c r="H28" s="5"/>
      <c r="I28" s="6"/>
      <c r="J28" s="211"/>
      <c r="K28" s="5"/>
      <c r="L28" s="41"/>
      <c r="M28" s="13"/>
      <c r="N28" s="42"/>
      <c r="O28" s="41"/>
      <c r="P28" s="13"/>
      <c r="Q28" s="5"/>
      <c r="R28" s="6"/>
      <c r="S28" s="13"/>
      <c r="T28" s="5"/>
      <c r="U28" s="6"/>
      <c r="V28" s="287"/>
      <c r="W28" s="255"/>
      <c r="X28" s="256"/>
      <c r="Y28" s="254"/>
      <c r="Z28" s="255"/>
      <c r="AA28" s="254"/>
      <c r="AB28" s="296"/>
    </row>
    <row r="29" spans="1:28" ht="26.25" customHeight="1">
      <c r="A29" s="431">
        <v>2</v>
      </c>
      <c r="B29" s="97" t="s">
        <v>21</v>
      </c>
      <c r="C29" s="98" t="s">
        <v>17</v>
      </c>
      <c r="D29" s="43">
        <f>SUM(E29:I30)</f>
        <v>992.9999999999999</v>
      </c>
      <c r="E29" s="8">
        <f aca="true" t="shared" si="12" ref="E29:O29">E31+E32</f>
        <v>724.4168228870515</v>
      </c>
      <c r="F29" s="44">
        <f t="shared" si="12"/>
        <v>128.2776512568858</v>
      </c>
      <c r="G29" s="43">
        <f t="shared" si="12"/>
        <v>15.779643511408585</v>
      </c>
      <c r="H29" s="8">
        <f t="shared" si="12"/>
        <v>113.64900039306009</v>
      </c>
      <c r="I29" s="15">
        <f t="shared" si="12"/>
        <v>10.876881951594001</v>
      </c>
      <c r="J29" s="212">
        <f t="shared" si="12"/>
        <v>1024.4662005612186</v>
      </c>
      <c r="K29" s="8">
        <f t="shared" si="12"/>
        <v>773.3372006667599</v>
      </c>
      <c r="L29" s="44">
        <f t="shared" si="12"/>
        <v>146.97954676663562</v>
      </c>
      <c r="M29" s="9">
        <f t="shared" si="12"/>
        <v>0</v>
      </c>
      <c r="N29" s="45">
        <f t="shared" si="12"/>
        <v>97.7193737774209</v>
      </c>
      <c r="O29" s="44">
        <f t="shared" si="12"/>
        <v>6.430079350402206</v>
      </c>
      <c r="P29" s="9">
        <f aca="true" t="shared" si="13" ref="P29:U29">J29-D29</f>
        <v>31.46620056121867</v>
      </c>
      <c r="Q29" s="8">
        <f t="shared" si="13"/>
        <v>48.920377779708474</v>
      </c>
      <c r="R29" s="15">
        <f t="shared" si="13"/>
        <v>18.701895509749818</v>
      </c>
      <c r="S29" s="9">
        <f t="shared" si="13"/>
        <v>-15.779643511408585</v>
      </c>
      <c r="T29" s="8">
        <f t="shared" si="13"/>
        <v>-15.929626615639194</v>
      </c>
      <c r="U29" s="15">
        <f t="shared" si="13"/>
        <v>-4.446802601191795</v>
      </c>
      <c r="V29" s="287">
        <f t="shared" si="5"/>
        <v>0.0316880166779645</v>
      </c>
      <c r="W29" s="255">
        <f t="shared" si="6"/>
        <v>0.06753070364206049</v>
      </c>
      <c r="X29" s="256">
        <f t="shared" si="7"/>
        <v>0.14579231320893027</v>
      </c>
      <c r="Y29" s="254">
        <f t="shared" si="9"/>
        <v>-1</v>
      </c>
      <c r="Z29" s="255">
        <f t="shared" si="10"/>
        <v>-0.14016512737064013</v>
      </c>
      <c r="AA29" s="254">
        <f t="shared" si="8"/>
        <v>-0.4088306392384923</v>
      </c>
      <c r="AB29" s="296"/>
    </row>
    <row r="30" spans="1:28" ht="18" customHeight="1">
      <c r="A30" s="431"/>
      <c r="B30" s="11" t="s">
        <v>15</v>
      </c>
      <c r="C30" s="12" t="s">
        <v>17</v>
      </c>
      <c r="D30" s="40"/>
      <c r="E30" s="5"/>
      <c r="F30" s="41"/>
      <c r="G30" s="40"/>
      <c r="H30" s="5"/>
      <c r="I30" s="6"/>
      <c r="J30" s="211"/>
      <c r="K30" s="5"/>
      <c r="L30" s="41"/>
      <c r="M30" s="13"/>
      <c r="N30" s="42"/>
      <c r="O30" s="41"/>
      <c r="P30" s="13"/>
      <c r="Q30" s="5"/>
      <c r="R30" s="6"/>
      <c r="S30" s="13"/>
      <c r="T30" s="5"/>
      <c r="U30" s="6"/>
      <c r="V30" s="287"/>
      <c r="W30" s="255"/>
      <c r="X30" s="256"/>
      <c r="Y30" s="254"/>
      <c r="Z30" s="255"/>
      <c r="AA30" s="254"/>
      <c r="AB30" s="296"/>
    </row>
    <row r="31" spans="1:28" ht="21" customHeight="1">
      <c r="A31" s="10" t="s">
        <v>3</v>
      </c>
      <c r="B31" s="11" t="s">
        <v>22</v>
      </c>
      <c r="C31" s="12" t="s">
        <v>17</v>
      </c>
      <c r="D31" s="40">
        <f>1928/2</f>
        <v>964</v>
      </c>
      <c r="E31" s="5">
        <f>1407/2</f>
        <v>703.5</v>
      </c>
      <c r="F31" s="41">
        <f>249/2</f>
        <v>124.5</v>
      </c>
      <c r="G31" s="40">
        <f>30/2</f>
        <v>15</v>
      </c>
      <c r="H31" s="5">
        <f>221/2</f>
        <v>110.5</v>
      </c>
      <c r="I31" s="41">
        <f>21/2</f>
        <v>10.5</v>
      </c>
      <c r="J31" s="211">
        <f>'[1]Тар.см.АМК г.Павлодар факт'!$J$34-1011.78293958335</f>
        <v>995.2160477412186</v>
      </c>
      <c r="K31" s="5">
        <f>J31*K69/100</f>
        <v>751.2571834944004</v>
      </c>
      <c r="L31" s="41">
        <f>J31*L69/100</f>
        <v>142.7830450157889</v>
      </c>
      <c r="M31" s="13">
        <f>J31*M69/100</f>
        <v>0</v>
      </c>
      <c r="N31" s="42">
        <f>J31*N69/100</f>
        <v>94.92932895710527</v>
      </c>
      <c r="O31" s="41">
        <f>J31*O69/100</f>
        <v>6.246490273924175</v>
      </c>
      <c r="P31" s="13">
        <f aca="true" t="shared" si="14" ref="P31:U33">J31-D31</f>
        <v>31.21604774121863</v>
      </c>
      <c r="Q31" s="5">
        <f t="shared" si="14"/>
        <v>47.75718349440035</v>
      </c>
      <c r="R31" s="6">
        <f t="shared" si="14"/>
        <v>18.2830450157889</v>
      </c>
      <c r="S31" s="13">
        <f t="shared" si="14"/>
        <v>-15</v>
      </c>
      <c r="T31" s="5">
        <f t="shared" si="14"/>
        <v>-15.57067104289473</v>
      </c>
      <c r="U31" s="6">
        <f t="shared" si="14"/>
        <v>-4.253509726075825</v>
      </c>
      <c r="V31" s="287">
        <f t="shared" si="5"/>
        <v>0.03238179226267501</v>
      </c>
      <c r="W31" s="255">
        <f t="shared" si="6"/>
        <v>0.06788512223795351</v>
      </c>
      <c r="X31" s="256">
        <f t="shared" si="7"/>
        <v>0.14685176719509152</v>
      </c>
      <c r="Y31" s="254">
        <f t="shared" si="9"/>
        <v>-1</v>
      </c>
      <c r="Z31" s="255">
        <f t="shared" si="10"/>
        <v>-0.14091105016194327</v>
      </c>
      <c r="AA31" s="254">
        <f t="shared" si="8"/>
        <v>-0.40509616438817375</v>
      </c>
      <c r="AB31" s="296"/>
    </row>
    <row r="32" spans="1:28" ht="24" customHeight="1">
      <c r="A32" s="10" t="s">
        <v>4</v>
      </c>
      <c r="B32" s="11" t="s">
        <v>65</v>
      </c>
      <c r="C32" s="12" t="s">
        <v>17</v>
      </c>
      <c r="D32" s="211">
        <f>15+14</f>
        <v>29</v>
      </c>
      <c r="E32" s="339">
        <f>D32*E69/100</f>
        <v>20.91682288705152</v>
      </c>
      <c r="F32" s="340">
        <f>D32*F69/100</f>
        <v>3.7776512568858083</v>
      </c>
      <c r="G32" s="341">
        <f>D32*G69/100</f>
        <v>0.7796435114085841</v>
      </c>
      <c r="H32" s="342">
        <f>D32*H69/100</f>
        <v>3.1490003930600867</v>
      </c>
      <c r="I32" s="340">
        <f>D32*I69/100</f>
        <v>0.3768819515940014</v>
      </c>
      <c r="J32" s="211">
        <f>'[1]Тар.см.АМК г.Павлодар факт'!$J$35-0.000301859999999971</f>
        <v>29.25015282</v>
      </c>
      <c r="K32" s="5">
        <f>J32*K69/100</f>
        <v>22.080017172359636</v>
      </c>
      <c r="L32" s="41">
        <f>J32*L69/100</f>
        <v>4.196501750846708</v>
      </c>
      <c r="M32" s="13">
        <f>J32*M69/100</f>
        <v>0</v>
      </c>
      <c r="N32" s="42">
        <f>J32*N69/100</f>
        <v>2.7900448203156305</v>
      </c>
      <c r="O32" s="41">
        <f>J32*O69/100</f>
        <v>0.18358907647803044</v>
      </c>
      <c r="P32" s="13">
        <f t="shared" si="14"/>
        <v>0.2501528200000003</v>
      </c>
      <c r="Q32" s="5">
        <f t="shared" si="14"/>
        <v>1.1631942853081156</v>
      </c>
      <c r="R32" s="6">
        <f t="shared" si="14"/>
        <v>0.4188504939608997</v>
      </c>
      <c r="S32" s="13">
        <f t="shared" si="14"/>
        <v>-0.7796435114085841</v>
      </c>
      <c r="T32" s="5">
        <f t="shared" si="14"/>
        <v>-0.3589555727444562</v>
      </c>
      <c r="U32" s="6">
        <f t="shared" si="14"/>
        <v>-0.19329287511597096</v>
      </c>
      <c r="V32" s="287">
        <f t="shared" si="5"/>
        <v>0.008625959310344822</v>
      </c>
      <c r="W32" s="255">
        <f t="shared" si="6"/>
        <v>0.05561046682802795</v>
      </c>
      <c r="X32" s="256">
        <f t="shared" si="7"/>
        <v>0.11087590290327332</v>
      </c>
      <c r="Y32" s="254"/>
      <c r="Z32" s="255">
        <f t="shared" si="10"/>
        <v>-0.11399032325798975</v>
      </c>
      <c r="AA32" s="254"/>
      <c r="AB32" s="296"/>
    </row>
    <row r="33" spans="1:28" ht="18.75">
      <c r="A33" s="431">
        <v>3</v>
      </c>
      <c r="B33" s="97" t="s">
        <v>23</v>
      </c>
      <c r="C33" s="12" t="s">
        <v>17</v>
      </c>
      <c r="D33" s="43">
        <f>SUM(D35:D36)</f>
        <v>44459.5</v>
      </c>
      <c r="E33" s="8">
        <f aca="true" t="shared" si="15" ref="E33:O33">E35+E36</f>
        <v>32669.5</v>
      </c>
      <c r="F33" s="44">
        <f t="shared" si="15"/>
        <v>5777</v>
      </c>
      <c r="G33" s="43">
        <f t="shared" si="15"/>
        <v>1187</v>
      </c>
      <c r="H33" s="8">
        <f t="shared" si="15"/>
        <v>4101.5</v>
      </c>
      <c r="I33" s="15">
        <f t="shared" si="15"/>
        <v>724.5</v>
      </c>
      <c r="J33" s="212">
        <f t="shared" si="15"/>
        <v>70378.42148206892</v>
      </c>
      <c r="K33" s="8">
        <f t="shared" si="15"/>
        <v>53126.449097562225</v>
      </c>
      <c r="L33" s="44">
        <f t="shared" si="15"/>
        <v>10097.149604271019</v>
      </c>
      <c r="M33" s="9">
        <f t="shared" si="15"/>
        <v>0</v>
      </c>
      <c r="N33" s="45">
        <f t="shared" si="15"/>
        <v>6713.091433278763</v>
      </c>
      <c r="O33" s="44">
        <f t="shared" si="15"/>
        <v>441.7313469569289</v>
      </c>
      <c r="P33" s="9">
        <f t="shared" si="14"/>
        <v>25918.921482068923</v>
      </c>
      <c r="Q33" s="8">
        <f t="shared" si="14"/>
        <v>20456.949097562225</v>
      </c>
      <c r="R33" s="15">
        <f t="shared" si="14"/>
        <v>4320.149604271019</v>
      </c>
      <c r="S33" s="9">
        <f t="shared" si="14"/>
        <v>-1187</v>
      </c>
      <c r="T33" s="8">
        <f t="shared" si="14"/>
        <v>2611.5914332787634</v>
      </c>
      <c r="U33" s="15">
        <f t="shared" si="14"/>
        <v>-282.7686530430711</v>
      </c>
      <c r="V33" s="287">
        <f t="shared" si="5"/>
        <v>0.5829782494645446</v>
      </c>
      <c r="W33" s="255">
        <f t="shared" si="6"/>
        <v>0.6261788242110293</v>
      </c>
      <c r="X33" s="256">
        <f t="shared" si="7"/>
        <v>0.7478188686638425</v>
      </c>
      <c r="Y33" s="254">
        <f t="shared" si="9"/>
        <v>-1</v>
      </c>
      <c r="Z33" s="255">
        <f t="shared" si="10"/>
        <v>0.6367405664461205</v>
      </c>
      <c r="AA33" s="254">
        <f t="shared" si="8"/>
        <v>-0.39029489722991173</v>
      </c>
      <c r="AB33" s="296"/>
    </row>
    <row r="34" spans="1:28" ht="14.25" customHeight="1">
      <c r="A34" s="431"/>
      <c r="B34" s="11" t="s">
        <v>15</v>
      </c>
      <c r="C34" s="12"/>
      <c r="D34" s="40"/>
      <c r="E34" s="5"/>
      <c r="F34" s="41"/>
      <c r="G34" s="40"/>
      <c r="H34" s="5"/>
      <c r="I34" s="6"/>
      <c r="J34" s="211"/>
      <c r="K34" s="5"/>
      <c r="L34" s="41"/>
      <c r="M34" s="13"/>
      <c r="N34" s="42"/>
      <c r="O34" s="41"/>
      <c r="P34" s="13"/>
      <c r="Q34" s="5"/>
      <c r="R34" s="6"/>
      <c r="S34" s="13"/>
      <c r="T34" s="5"/>
      <c r="U34" s="6"/>
      <c r="V34" s="287"/>
      <c r="W34" s="255"/>
      <c r="X34" s="256"/>
      <c r="Y34" s="254"/>
      <c r="Z34" s="255"/>
      <c r="AA34" s="254"/>
      <c r="AB34" s="296"/>
    </row>
    <row r="35" spans="1:28" ht="53.25" customHeight="1" thickBot="1">
      <c r="A35" s="17" t="s">
        <v>24</v>
      </c>
      <c r="B35" s="186" t="s">
        <v>25</v>
      </c>
      <c r="C35" s="187" t="s">
        <v>17</v>
      </c>
      <c r="D35" s="338">
        <f>80372/2</f>
        <v>40186</v>
      </c>
      <c r="E35" s="339">
        <f>59100/2</f>
        <v>29550</v>
      </c>
      <c r="F35" s="340">
        <f>10443/2</f>
        <v>5221.5</v>
      </c>
      <c r="G35" s="341">
        <v>1080</v>
      </c>
      <c r="H35" s="342">
        <f>7331/2</f>
        <v>3665.5</v>
      </c>
      <c r="I35" s="340">
        <f>1338/2</f>
        <v>669</v>
      </c>
      <c r="J35" s="213">
        <f>'[1]Тар.см.АМК г.Павлодар факт'!$J$38-41609.0516159119</f>
        <v>65074.71067225399</v>
      </c>
      <c r="K35" s="181">
        <f>J35*K69/100</f>
        <v>49122.84520261535</v>
      </c>
      <c r="L35" s="182">
        <f>J35*L69/100</f>
        <v>9336.229419124</v>
      </c>
      <c r="M35" s="184">
        <f>J35*M69/100</f>
        <v>0</v>
      </c>
      <c r="N35" s="185">
        <f>J35*N69/100</f>
        <v>6207.193533721185</v>
      </c>
      <c r="O35" s="182">
        <f>J35*O69/100</f>
        <v>408.4425167934607</v>
      </c>
      <c r="P35" s="184">
        <f aca="true" t="shared" si="16" ref="P35:U42">J35-D35</f>
        <v>24888.71067225399</v>
      </c>
      <c r="Q35" s="181">
        <f t="shared" si="16"/>
        <v>19572.845202615354</v>
      </c>
      <c r="R35" s="183">
        <f t="shared" si="16"/>
        <v>4114.729419124</v>
      </c>
      <c r="S35" s="184">
        <f t="shared" si="16"/>
        <v>-1080</v>
      </c>
      <c r="T35" s="181">
        <f t="shared" si="16"/>
        <v>2541.6935337211853</v>
      </c>
      <c r="U35" s="183">
        <f t="shared" si="16"/>
        <v>-260.5574832065393</v>
      </c>
      <c r="V35" s="289">
        <f t="shared" si="5"/>
        <v>0.6193378458232714</v>
      </c>
      <c r="W35" s="275">
        <f t="shared" si="6"/>
        <v>0.6623636278380831</v>
      </c>
      <c r="X35" s="276">
        <f t="shared" si="7"/>
        <v>0.7880358937324523</v>
      </c>
      <c r="Y35" s="274">
        <f t="shared" si="9"/>
        <v>-1</v>
      </c>
      <c r="Z35" s="275">
        <f t="shared" si="10"/>
        <v>0.693409775943578</v>
      </c>
      <c r="AA35" s="274">
        <f t="shared" si="8"/>
        <v>-0.38947306906807067</v>
      </c>
      <c r="AB35" s="350" t="s">
        <v>129</v>
      </c>
    </row>
    <row r="36" spans="1:28" ht="18.75">
      <c r="A36" s="4" t="s">
        <v>26</v>
      </c>
      <c r="B36" s="175" t="s">
        <v>27</v>
      </c>
      <c r="C36" s="176" t="s">
        <v>17</v>
      </c>
      <c r="D36" s="177">
        <f>E36+F36+G36+H36+I36</f>
        <v>4273.5</v>
      </c>
      <c r="E36" s="173">
        <f>6239/2</f>
        <v>3119.5</v>
      </c>
      <c r="F36" s="178">
        <f>1111/2</f>
        <v>555.5</v>
      </c>
      <c r="G36" s="179">
        <f>214/2</f>
        <v>107</v>
      </c>
      <c r="H36" s="173">
        <f>872/2</f>
        <v>436</v>
      </c>
      <c r="I36" s="174">
        <f>111/2</f>
        <v>55.5</v>
      </c>
      <c r="J36" s="214">
        <f>'[1]Тар.см.АМК г.Павлодар факт'!$J$39-5641.5281601563</f>
        <v>5303.710809814935</v>
      </c>
      <c r="K36" s="173">
        <f>J36*K69/100</f>
        <v>4003.6038949468702</v>
      </c>
      <c r="L36" s="178">
        <f>J36*L69/100</f>
        <v>760.9201851470185</v>
      </c>
      <c r="M36" s="172">
        <f>J36*M69/100</f>
        <v>0</v>
      </c>
      <c r="N36" s="180">
        <f>J36*N69/100</f>
        <v>505.8978995575783</v>
      </c>
      <c r="O36" s="178">
        <f>J36*O69/100</f>
        <v>33.28883016346821</v>
      </c>
      <c r="P36" s="172">
        <f t="shared" si="16"/>
        <v>1030.2108098149347</v>
      </c>
      <c r="Q36" s="173">
        <f t="shared" si="16"/>
        <v>884.1038949468702</v>
      </c>
      <c r="R36" s="174">
        <f t="shared" si="16"/>
        <v>205.42018514701851</v>
      </c>
      <c r="S36" s="172">
        <f t="shared" si="16"/>
        <v>-107</v>
      </c>
      <c r="T36" s="173">
        <f t="shared" si="16"/>
        <v>69.89789955757828</v>
      </c>
      <c r="U36" s="174">
        <f t="shared" si="16"/>
        <v>-22.211169836531788</v>
      </c>
      <c r="V36" s="286">
        <f t="shared" si="5"/>
        <v>0.24106957056626532</v>
      </c>
      <c r="W36" s="240">
        <f t="shared" si="6"/>
        <v>0.28341205159380367</v>
      </c>
      <c r="X36" s="241">
        <f t="shared" si="7"/>
        <v>0.369793312595893</v>
      </c>
      <c r="Y36" s="242">
        <f t="shared" si="9"/>
        <v>-1</v>
      </c>
      <c r="Z36" s="240">
        <f t="shared" si="10"/>
        <v>0.1603162833889411</v>
      </c>
      <c r="AA36" s="242">
        <f t="shared" si="8"/>
        <v>-0.40020125831588804</v>
      </c>
      <c r="AB36" s="349" t="s">
        <v>17</v>
      </c>
    </row>
    <row r="37" spans="1:28" ht="21.75" customHeight="1">
      <c r="A37" s="99">
        <v>4</v>
      </c>
      <c r="B37" s="150" t="s">
        <v>28</v>
      </c>
      <c r="C37" s="100" t="s">
        <v>17</v>
      </c>
      <c r="D37" s="46">
        <f>SUM(E37:I37)</f>
        <v>2618.5</v>
      </c>
      <c r="E37" s="47">
        <f>3821/2</f>
        <v>1910.5</v>
      </c>
      <c r="F37" s="48">
        <f>677/2</f>
        <v>338.5</v>
      </c>
      <c r="G37" s="46">
        <f>80/2</f>
        <v>40</v>
      </c>
      <c r="H37" s="47">
        <f>601/2</f>
        <v>300.5</v>
      </c>
      <c r="I37" s="49">
        <f>58/2</f>
        <v>29</v>
      </c>
      <c r="J37" s="215">
        <f>'[1]Тар.см.АМК г.Павлодар факт'!$J$40-2692.75426180391</f>
        <v>2289.809522785898</v>
      </c>
      <c r="K37" s="47">
        <f>J37*K69/100</f>
        <v>1728.5049379289107</v>
      </c>
      <c r="L37" s="48">
        <f>J37*L69/100</f>
        <v>328.51758862969547</v>
      </c>
      <c r="M37" s="234">
        <f>J37*M69/100</f>
        <v>0</v>
      </c>
      <c r="N37" s="54">
        <f>J37*N69/100</f>
        <v>218.41496821821391</v>
      </c>
      <c r="O37" s="48">
        <f>J37*O69/100</f>
        <v>14.37202800907837</v>
      </c>
      <c r="P37" s="234">
        <f t="shared" si="16"/>
        <v>-328.690477214102</v>
      </c>
      <c r="Q37" s="47">
        <f t="shared" si="16"/>
        <v>-181.99506207108925</v>
      </c>
      <c r="R37" s="49">
        <f t="shared" si="16"/>
        <v>-9.982411370304533</v>
      </c>
      <c r="S37" s="234">
        <f t="shared" si="16"/>
        <v>-40</v>
      </c>
      <c r="T37" s="47">
        <f t="shared" si="16"/>
        <v>-82.08503178178609</v>
      </c>
      <c r="U37" s="49">
        <f t="shared" si="16"/>
        <v>-14.62797199092163</v>
      </c>
      <c r="V37" s="287">
        <f t="shared" si="5"/>
        <v>-0.1255262467878946</v>
      </c>
      <c r="W37" s="255">
        <f t="shared" si="6"/>
        <v>-0.09526043552530183</v>
      </c>
      <c r="X37" s="256">
        <f t="shared" si="7"/>
        <v>-0.02949013698760572</v>
      </c>
      <c r="Y37" s="254">
        <f t="shared" si="9"/>
        <v>-1</v>
      </c>
      <c r="Z37" s="255">
        <f t="shared" si="10"/>
        <v>-0.2731615034335644</v>
      </c>
      <c r="AA37" s="254">
        <f t="shared" si="8"/>
        <v>-0.5044128272731596</v>
      </c>
      <c r="AB37" s="247"/>
    </row>
    <row r="38" spans="1:28" ht="18.75">
      <c r="A38" s="431">
        <v>5</v>
      </c>
      <c r="B38" s="101" t="s">
        <v>6</v>
      </c>
      <c r="C38" s="102" t="s">
        <v>17</v>
      </c>
      <c r="D38" s="43">
        <f>SUM(E38:I38)</f>
        <v>4185</v>
      </c>
      <c r="E38" s="8">
        <f aca="true" t="shared" si="17" ref="E38:O38">E40+E41</f>
        <v>3054.5</v>
      </c>
      <c r="F38" s="44">
        <f>F40+F41</f>
        <v>540.5</v>
      </c>
      <c r="G38" s="43">
        <f t="shared" si="17"/>
        <v>64.5</v>
      </c>
      <c r="H38" s="8">
        <f t="shared" si="17"/>
        <v>479.5</v>
      </c>
      <c r="I38" s="15">
        <f t="shared" si="17"/>
        <v>46</v>
      </c>
      <c r="J38" s="212">
        <f t="shared" si="17"/>
        <v>4329.692909011644</v>
      </c>
      <c r="K38" s="8">
        <f t="shared" si="17"/>
        <v>3268.3485235213493</v>
      </c>
      <c r="L38" s="44">
        <f t="shared" si="17"/>
        <v>621.178425463554</v>
      </c>
      <c r="M38" s="9">
        <f t="shared" si="17"/>
        <v>0</v>
      </c>
      <c r="N38" s="45">
        <f t="shared" si="17"/>
        <v>412.99056961115906</v>
      </c>
      <c r="O38" s="44">
        <f t="shared" si="17"/>
        <v>27.175390415581585</v>
      </c>
      <c r="P38" s="9">
        <f t="shared" si="16"/>
        <v>144.69290901164368</v>
      </c>
      <c r="Q38" s="8">
        <f t="shared" si="16"/>
        <v>213.8485235213493</v>
      </c>
      <c r="R38" s="15">
        <f t="shared" si="16"/>
        <v>80.67842546355405</v>
      </c>
      <c r="S38" s="9">
        <f t="shared" si="16"/>
        <v>-64.5</v>
      </c>
      <c r="T38" s="8">
        <f t="shared" si="16"/>
        <v>-66.50943038884094</v>
      </c>
      <c r="U38" s="15">
        <f t="shared" si="16"/>
        <v>-18.824609584418415</v>
      </c>
      <c r="V38" s="287">
        <f t="shared" si="5"/>
        <v>0.03457417180684441</v>
      </c>
      <c r="W38" s="255">
        <f t="shared" si="6"/>
        <v>0.07001097512566679</v>
      </c>
      <c r="X38" s="256">
        <f t="shared" si="7"/>
        <v>0.14926628207873094</v>
      </c>
      <c r="Y38" s="254">
        <f t="shared" si="9"/>
        <v>-1</v>
      </c>
      <c r="Z38" s="255">
        <f t="shared" si="10"/>
        <v>-0.1387057985168737</v>
      </c>
      <c r="AA38" s="254">
        <f t="shared" si="8"/>
        <v>-0.4092306431395307</v>
      </c>
      <c r="AB38" s="296"/>
    </row>
    <row r="39" spans="1:28" ht="14.25" customHeight="1">
      <c r="A39" s="431"/>
      <c r="B39" s="16" t="s">
        <v>15</v>
      </c>
      <c r="C39" s="68" t="s">
        <v>17</v>
      </c>
      <c r="D39" s="13"/>
      <c r="E39" s="5"/>
      <c r="F39" s="41"/>
      <c r="G39" s="40"/>
      <c r="H39" s="5"/>
      <c r="I39" s="6"/>
      <c r="J39" s="211"/>
      <c r="K39" s="5"/>
      <c r="L39" s="41"/>
      <c r="M39" s="13"/>
      <c r="N39" s="42"/>
      <c r="O39" s="41"/>
      <c r="P39" s="13"/>
      <c r="Q39" s="5">
        <f t="shared" si="16"/>
        <v>0</v>
      </c>
      <c r="R39" s="6">
        <f t="shared" si="16"/>
        <v>0</v>
      </c>
      <c r="S39" s="13">
        <f t="shared" si="16"/>
        <v>0</v>
      </c>
      <c r="T39" s="5">
        <f t="shared" si="16"/>
        <v>0</v>
      </c>
      <c r="U39" s="6">
        <f t="shared" si="16"/>
        <v>0</v>
      </c>
      <c r="V39" s="287"/>
      <c r="W39" s="255"/>
      <c r="X39" s="256"/>
      <c r="Y39" s="254"/>
      <c r="Z39" s="255"/>
      <c r="AA39" s="254"/>
      <c r="AB39" s="296"/>
    </row>
    <row r="40" spans="1:28" ht="18.75">
      <c r="A40" s="143" t="s">
        <v>29</v>
      </c>
      <c r="B40" s="144" t="s">
        <v>30</v>
      </c>
      <c r="C40" s="145" t="s">
        <v>17</v>
      </c>
      <c r="D40" s="52">
        <f>E40+F40+G40+H40+I40</f>
        <v>4132</v>
      </c>
      <c r="E40" s="146">
        <f>6032/2</f>
        <v>3016</v>
      </c>
      <c r="F40" s="147">
        <f>1067/2</f>
        <v>533.5</v>
      </c>
      <c r="G40" s="55">
        <f>127/2</f>
        <v>63.5</v>
      </c>
      <c r="H40" s="146">
        <f>947/2</f>
        <v>473.5</v>
      </c>
      <c r="I40" s="148">
        <f>91/2</f>
        <v>45.5</v>
      </c>
      <c r="J40" s="216">
        <f>'[1]Тар.см.АМК г.Павлодар факт'!$J$43-4113.49903388075</f>
        <v>4272.968795851643</v>
      </c>
      <c r="K40" s="146">
        <f>J40*K69/100</f>
        <v>3225.529280819708</v>
      </c>
      <c r="L40" s="147">
        <f>J40*L69/100</f>
        <v>613.0402512237121</v>
      </c>
      <c r="M40" s="52">
        <f>J40*M69/100</f>
        <v>0</v>
      </c>
      <c r="N40" s="149">
        <f>J40*N69/100</f>
        <v>407.57990324360276</v>
      </c>
      <c r="O40" s="147">
        <f>J40*O69/100</f>
        <v>26.819360564620975</v>
      </c>
      <c r="P40" s="249">
        <f>J40-D40</f>
        <v>140.96879585164334</v>
      </c>
      <c r="Q40" s="146">
        <f t="shared" si="16"/>
        <v>209.52928081970822</v>
      </c>
      <c r="R40" s="148">
        <f t="shared" si="16"/>
        <v>79.54025122371206</v>
      </c>
      <c r="S40" s="249">
        <f t="shared" si="16"/>
        <v>-63.5</v>
      </c>
      <c r="T40" s="146">
        <f t="shared" si="16"/>
        <v>-65.92009675639724</v>
      </c>
      <c r="U40" s="148">
        <f t="shared" si="16"/>
        <v>-18.680639435379025</v>
      </c>
      <c r="V40" s="287">
        <f>J40/D40-1</f>
        <v>0.034116359112208006</v>
      </c>
      <c r="W40" s="255">
        <f t="shared" si="6"/>
        <v>0.06947257321608369</v>
      </c>
      <c r="X40" s="256">
        <f t="shared" si="7"/>
        <v>0.14909137998821387</v>
      </c>
      <c r="Y40" s="254">
        <f t="shared" si="9"/>
        <v>-1</v>
      </c>
      <c r="Z40" s="255">
        <f t="shared" si="10"/>
        <v>-0.13921878934825183</v>
      </c>
      <c r="AA40" s="254">
        <f t="shared" si="8"/>
        <v>-0.41056350407426423</v>
      </c>
      <c r="AB40" s="296"/>
    </row>
    <row r="41" spans="1:28" ht="18.75" outlineLevel="1">
      <c r="A41" s="10" t="s">
        <v>73</v>
      </c>
      <c r="B41" s="16" t="s">
        <v>85</v>
      </c>
      <c r="C41" s="68" t="s">
        <v>17</v>
      </c>
      <c r="D41" s="40">
        <f>SUM(E41:I41)</f>
        <v>53</v>
      </c>
      <c r="E41" s="5">
        <f>77/2</f>
        <v>38.5</v>
      </c>
      <c r="F41" s="41">
        <f>14/2</f>
        <v>7</v>
      </c>
      <c r="G41" s="40">
        <f>2/2</f>
        <v>1</v>
      </c>
      <c r="H41" s="5">
        <f>12/2</f>
        <v>6</v>
      </c>
      <c r="I41" s="41">
        <f>1/2</f>
        <v>0.5</v>
      </c>
      <c r="J41" s="211">
        <f>'[1]Тар.см.АМК г.Павлодар факт'!$J$44-44.21918709</f>
        <v>56.724113159999966</v>
      </c>
      <c r="K41" s="5">
        <f>J41*K69/100</f>
        <v>42.81924270164105</v>
      </c>
      <c r="L41" s="41">
        <f>J41*L69/100</f>
        <v>8.138174239842028</v>
      </c>
      <c r="M41" s="13">
        <f>J41*M69/100</f>
        <v>0</v>
      </c>
      <c r="N41" s="42">
        <f>J41*N69/100</f>
        <v>5.410666367556283</v>
      </c>
      <c r="O41" s="6">
        <f>J41*O69/100</f>
        <v>0.3560298509606107</v>
      </c>
      <c r="P41" s="13">
        <f>J41-D41</f>
        <v>3.724113159999966</v>
      </c>
      <c r="Q41" s="5">
        <f t="shared" si="16"/>
        <v>4.319242701641052</v>
      </c>
      <c r="R41" s="6">
        <f t="shared" si="16"/>
        <v>1.1381742398420283</v>
      </c>
      <c r="S41" s="13">
        <f t="shared" si="16"/>
        <v>-1</v>
      </c>
      <c r="T41" s="5">
        <f t="shared" si="16"/>
        <v>-0.5893336324437168</v>
      </c>
      <c r="U41" s="6">
        <f t="shared" si="16"/>
        <v>-0.14397014903938932</v>
      </c>
      <c r="V41" s="287">
        <f t="shared" si="5"/>
        <v>0.07026628603773521</v>
      </c>
      <c r="W41" s="255">
        <f t="shared" si="6"/>
        <v>0.11218812212054674</v>
      </c>
      <c r="X41" s="256">
        <f t="shared" si="7"/>
        <v>0.1625963199774325</v>
      </c>
      <c r="Y41" s="254">
        <f t="shared" si="9"/>
        <v>-1</v>
      </c>
      <c r="Z41" s="255">
        <f t="shared" si="10"/>
        <v>-0.09822227207395284</v>
      </c>
      <c r="AA41" s="254">
        <f t="shared" si="8"/>
        <v>-0.28794029807877863</v>
      </c>
      <c r="AB41" s="296"/>
    </row>
    <row r="42" spans="1:28" ht="24" customHeight="1">
      <c r="A42" s="431">
        <v>6</v>
      </c>
      <c r="B42" s="19" t="s">
        <v>31</v>
      </c>
      <c r="C42" s="103" t="s">
        <v>17</v>
      </c>
      <c r="D42" s="46">
        <f>SUM(E42:I42)</f>
        <v>10685.699999999999</v>
      </c>
      <c r="E42" s="8">
        <f aca="true" t="shared" si="18" ref="E42:O42">E44+E46+E47+E48+E49+E50+E55+E56+E57+E58+E59+E60+E45</f>
        <v>7760.56301627106</v>
      </c>
      <c r="F42" s="54">
        <f t="shared" si="18"/>
        <v>1359.3176887749169</v>
      </c>
      <c r="G42" s="47">
        <f t="shared" si="18"/>
        <v>235.184751866276</v>
      </c>
      <c r="H42" s="8">
        <f t="shared" si="18"/>
        <v>1146.3584903139113</v>
      </c>
      <c r="I42" s="48">
        <f t="shared" si="18"/>
        <v>184.27605277383535</v>
      </c>
      <c r="J42" s="215">
        <f t="shared" si="18"/>
        <v>11567.421108649472</v>
      </c>
      <c r="K42" s="47">
        <f t="shared" si="18"/>
        <v>8731.881104711974</v>
      </c>
      <c r="L42" s="54">
        <f t="shared" si="18"/>
        <v>1659.5709169094412</v>
      </c>
      <c r="M42" s="47">
        <f t="shared" si="18"/>
        <v>0</v>
      </c>
      <c r="N42" s="232">
        <f t="shared" si="18"/>
        <v>1103.3659737507362</v>
      </c>
      <c r="O42" s="15">
        <f t="shared" si="18"/>
        <v>72.60311327732171</v>
      </c>
      <c r="P42" s="234">
        <f>J42-D42</f>
        <v>881.7211086494735</v>
      </c>
      <c r="Q42" s="47">
        <f t="shared" si="16"/>
        <v>971.3180884409139</v>
      </c>
      <c r="R42" s="49">
        <f t="shared" si="16"/>
        <v>300.2532281345243</v>
      </c>
      <c r="S42" s="234">
        <f t="shared" si="16"/>
        <v>-235.184751866276</v>
      </c>
      <c r="T42" s="47">
        <f t="shared" si="16"/>
        <v>-42.99251656317506</v>
      </c>
      <c r="U42" s="49">
        <f t="shared" si="16"/>
        <v>-111.67293949651364</v>
      </c>
      <c r="V42" s="287">
        <f t="shared" si="5"/>
        <v>0.08251411780692641</v>
      </c>
      <c r="W42" s="255">
        <f t="shared" si="6"/>
        <v>0.12516077588757613</v>
      </c>
      <c r="X42" s="256">
        <f t="shared" si="7"/>
        <v>0.22088525045615137</v>
      </c>
      <c r="Y42" s="254">
        <f t="shared" si="9"/>
        <v>-1</v>
      </c>
      <c r="Z42" s="255">
        <f t="shared" si="10"/>
        <v>-0.03750355314366127</v>
      </c>
      <c r="AA42" s="254">
        <f t="shared" si="8"/>
        <v>-0.6060089621822509</v>
      </c>
      <c r="AB42" s="296"/>
    </row>
    <row r="43" spans="1:28" ht="18.75">
      <c r="A43" s="431"/>
      <c r="B43" s="16" t="s">
        <v>15</v>
      </c>
      <c r="C43" s="68" t="s">
        <v>17</v>
      </c>
      <c r="D43" s="40"/>
      <c r="E43" s="5"/>
      <c r="F43" s="41"/>
      <c r="G43" s="40"/>
      <c r="H43" s="5"/>
      <c r="I43" s="6"/>
      <c r="J43" s="211"/>
      <c r="K43" s="5"/>
      <c r="L43" s="41"/>
      <c r="M43" s="13"/>
      <c r="N43" s="42"/>
      <c r="O43" s="6"/>
      <c r="P43" s="13"/>
      <c r="Q43" s="5"/>
      <c r="R43" s="6"/>
      <c r="S43" s="13"/>
      <c r="T43" s="5"/>
      <c r="U43" s="6"/>
      <c r="V43" s="287"/>
      <c r="W43" s="255"/>
      <c r="X43" s="256"/>
      <c r="Y43" s="254"/>
      <c r="Z43" s="255"/>
      <c r="AA43" s="254"/>
      <c r="AB43" s="296"/>
    </row>
    <row r="44" spans="1:28" ht="49.5" customHeight="1">
      <c r="A44" s="10" t="s">
        <v>32</v>
      </c>
      <c r="B44" s="16" t="s">
        <v>8</v>
      </c>
      <c r="C44" s="68" t="s">
        <v>17</v>
      </c>
      <c r="D44" s="40">
        <f>SUM(E44:I44)</f>
        <v>153.5</v>
      </c>
      <c r="E44" s="5">
        <f>224/2</f>
        <v>112</v>
      </c>
      <c r="F44" s="41">
        <f>39/2</f>
        <v>19.5</v>
      </c>
      <c r="G44" s="40">
        <f>6/2</f>
        <v>3</v>
      </c>
      <c r="H44" s="5">
        <f>33/2</f>
        <v>16.5</v>
      </c>
      <c r="I44" s="41">
        <f>5/2</f>
        <v>2.5</v>
      </c>
      <c r="J44" s="211">
        <f>'[1]Тар.см.АМК г.Павлодар факт'!$J$47-362.176893</f>
        <v>183.2285321099999</v>
      </c>
      <c r="K44" s="5">
        <f>J44*K69/100</f>
        <v>138.31343584259082</v>
      </c>
      <c r="L44" s="41">
        <f>J44*L69/100</f>
        <v>26.287686787021947</v>
      </c>
      <c r="M44" s="13">
        <f>J44*M69/100</f>
        <v>0</v>
      </c>
      <c r="N44" s="42">
        <f>J44*N69/100</f>
        <v>17.477372514717047</v>
      </c>
      <c r="O44" s="6">
        <f>J44*O69/100</f>
        <v>1.1500369656701175</v>
      </c>
      <c r="P44" s="13">
        <f aca="true" t="shared" si="19" ref="P44:U50">J44-D44</f>
        <v>29.72853210999989</v>
      </c>
      <c r="Q44" s="5">
        <f t="shared" si="19"/>
        <v>26.31343584259082</v>
      </c>
      <c r="R44" s="6">
        <f t="shared" si="19"/>
        <v>6.787686787021947</v>
      </c>
      <c r="S44" s="253">
        <f t="shared" si="19"/>
        <v>-3</v>
      </c>
      <c r="T44" s="5">
        <f t="shared" si="19"/>
        <v>0.9773725147170467</v>
      </c>
      <c r="U44" s="6">
        <f t="shared" si="19"/>
        <v>-1.3499630343298825</v>
      </c>
      <c r="V44" s="287">
        <f t="shared" si="5"/>
        <v>0.19367121895765393</v>
      </c>
      <c r="W44" s="255">
        <f t="shared" si="6"/>
        <v>0.23494139145170378</v>
      </c>
      <c r="X44" s="256">
        <f t="shared" si="7"/>
        <v>0.3480865018985615</v>
      </c>
      <c r="Y44" s="254">
        <f>M44/G44-1</f>
        <v>-1</v>
      </c>
      <c r="Z44" s="255">
        <f t="shared" si="10"/>
        <v>0.05923469786163915</v>
      </c>
      <c r="AA44" s="254">
        <f t="shared" si="8"/>
        <v>-0.539985213731953</v>
      </c>
      <c r="AB44" s="247" t="s">
        <v>112</v>
      </c>
    </row>
    <row r="45" spans="1:28" ht="24.75" customHeight="1">
      <c r="A45" s="10" t="s">
        <v>33</v>
      </c>
      <c r="B45" s="16" t="s">
        <v>34</v>
      </c>
      <c r="C45" s="68" t="s">
        <v>17</v>
      </c>
      <c r="D45" s="40">
        <f>SUM(E45:I45)</f>
        <v>750</v>
      </c>
      <c r="E45" s="5">
        <f>1094/2</f>
        <v>547</v>
      </c>
      <c r="F45" s="41">
        <f>194/2</f>
        <v>97</v>
      </c>
      <c r="G45" s="40">
        <f>23/2</f>
        <v>11.5</v>
      </c>
      <c r="H45" s="5">
        <f>172/2</f>
        <v>86</v>
      </c>
      <c r="I45" s="6">
        <f>17/2</f>
        <v>8.5</v>
      </c>
      <c r="J45" s="211">
        <f>'[1]Тар.см.АМК г.Павлодар факт'!$J$48-789.803962350982</f>
        <v>724.292187104753</v>
      </c>
      <c r="K45" s="5">
        <f>J45*K69/100</f>
        <v>546.7453119815483</v>
      </c>
      <c r="L45" s="41">
        <f>J45*L69/100</f>
        <v>103.91376243447905</v>
      </c>
      <c r="M45" s="13">
        <f>J45*M69/100</f>
        <v>0</v>
      </c>
      <c r="N45" s="42">
        <f>J45*N69/100</f>
        <v>69.0870805859501</v>
      </c>
      <c r="O45" s="6">
        <f>J45*O69/100</f>
        <v>4.5460321027756745</v>
      </c>
      <c r="P45" s="13">
        <f t="shared" si="19"/>
        <v>-25.707812895247002</v>
      </c>
      <c r="Q45" s="5">
        <f t="shared" si="19"/>
        <v>-0.2546880184517022</v>
      </c>
      <c r="R45" s="6">
        <f t="shared" si="19"/>
        <v>6.913762434479054</v>
      </c>
      <c r="S45" s="13">
        <f t="shared" si="19"/>
        <v>-11.5</v>
      </c>
      <c r="T45" s="5">
        <f t="shared" si="19"/>
        <v>-16.912919414049895</v>
      </c>
      <c r="U45" s="6">
        <f t="shared" si="19"/>
        <v>-3.9539678972243255</v>
      </c>
      <c r="V45" s="287">
        <f t="shared" si="5"/>
        <v>-0.03427708386032935</v>
      </c>
      <c r="W45" s="255">
        <f t="shared" si="6"/>
        <v>-0.0004656088088696997</v>
      </c>
      <c r="X45" s="256">
        <f t="shared" si="7"/>
        <v>0.07127590138638196</v>
      </c>
      <c r="Y45" s="254">
        <f t="shared" si="9"/>
        <v>-1</v>
      </c>
      <c r="Z45" s="255">
        <f t="shared" si="10"/>
        <v>-0.19666185365174293</v>
      </c>
      <c r="AA45" s="254">
        <f t="shared" si="8"/>
        <v>-0.46517269379109716</v>
      </c>
      <c r="AB45" s="296"/>
    </row>
    <row r="46" spans="1:28" ht="18.75">
      <c r="A46" s="10" t="s">
        <v>35</v>
      </c>
      <c r="B46" s="16" t="s">
        <v>36</v>
      </c>
      <c r="C46" s="68" t="s">
        <v>17</v>
      </c>
      <c r="D46" s="211">
        <f>554-184</f>
        <v>370</v>
      </c>
      <c r="E46" s="339">
        <f>D46*E69/100</f>
        <v>266.8698092485884</v>
      </c>
      <c r="F46" s="340">
        <f>D46*F69/100</f>
        <v>48.19761948440514</v>
      </c>
      <c r="G46" s="341">
        <f>D46*G69/100</f>
        <v>9.94717583521297</v>
      </c>
      <c r="H46" s="342">
        <f>D46*H69/100</f>
        <v>40.17690156662869</v>
      </c>
      <c r="I46" s="340">
        <f>D46*I69/100</f>
        <v>4.808493865164845</v>
      </c>
      <c r="J46" s="211">
        <f>'[1]Тар.см.АМК г.Павлодар факт'!$J$49-770.344217617239</f>
        <v>368.74708684193445</v>
      </c>
      <c r="K46" s="5">
        <f>J46*K69/100</f>
        <v>278.3555374849321</v>
      </c>
      <c r="L46" s="41">
        <f>J46*L69/100</f>
        <v>52.903921735879706</v>
      </c>
      <c r="M46" s="13">
        <f>J46*M69/100</f>
        <v>0</v>
      </c>
      <c r="N46" s="42">
        <f>J46*N69/100</f>
        <v>35.17318032425299</v>
      </c>
      <c r="O46" s="6">
        <f>J46*O69/100</f>
        <v>2.314447296869707</v>
      </c>
      <c r="P46" s="13">
        <f t="shared" si="19"/>
        <v>-1.252913158065553</v>
      </c>
      <c r="Q46" s="5">
        <f t="shared" si="19"/>
        <v>11.485728236343675</v>
      </c>
      <c r="R46" s="6">
        <f t="shared" si="19"/>
        <v>4.706302251474568</v>
      </c>
      <c r="S46" s="13">
        <f t="shared" si="19"/>
        <v>-9.94717583521297</v>
      </c>
      <c r="T46" s="5">
        <f t="shared" si="19"/>
        <v>-5.003721242375704</v>
      </c>
      <c r="U46" s="6">
        <f t="shared" si="19"/>
        <v>-2.494046568295138</v>
      </c>
      <c r="V46" s="287">
        <f t="shared" si="5"/>
        <v>-0.00338625177855556</v>
      </c>
      <c r="W46" s="255">
        <f t="shared" si="6"/>
        <v>0.04303869466794863</v>
      </c>
      <c r="X46" s="256">
        <f t="shared" si="7"/>
        <v>0.09764594811570193</v>
      </c>
      <c r="Y46" s="254">
        <f t="shared" si="9"/>
        <v>-1</v>
      </c>
      <c r="Z46" s="255">
        <f t="shared" si="10"/>
        <v>-0.12454223813346132</v>
      </c>
      <c r="AA46" s="254">
        <f t="shared" si="8"/>
        <v>-0.5186752106232826</v>
      </c>
      <c r="AB46" s="296"/>
    </row>
    <row r="47" spans="1:28" ht="35.25" customHeight="1" hidden="1">
      <c r="A47" s="10" t="s">
        <v>37</v>
      </c>
      <c r="B47" s="16" t="s">
        <v>66</v>
      </c>
      <c r="C47" s="68" t="s">
        <v>17</v>
      </c>
      <c r="D47" s="211">
        <f>SUM(E47:I47)</f>
        <v>0</v>
      </c>
      <c r="E47" s="339"/>
      <c r="F47" s="340"/>
      <c r="G47" s="211"/>
      <c r="H47" s="339"/>
      <c r="I47" s="348"/>
      <c r="J47" s="211"/>
      <c r="K47" s="5">
        <f>J47*K69/100</f>
        <v>0</v>
      </c>
      <c r="L47" s="41"/>
      <c r="M47" s="13"/>
      <c r="N47" s="42"/>
      <c r="O47" s="6"/>
      <c r="P47" s="13"/>
      <c r="Q47" s="5"/>
      <c r="R47" s="6"/>
      <c r="S47" s="13"/>
      <c r="T47" s="5"/>
      <c r="U47" s="6"/>
      <c r="V47" s="287" t="e">
        <f t="shared" si="5"/>
        <v>#DIV/0!</v>
      </c>
      <c r="W47" s="255" t="e">
        <f t="shared" si="6"/>
        <v>#DIV/0!</v>
      </c>
      <c r="X47" s="256" t="e">
        <f t="shared" si="7"/>
        <v>#DIV/0!</v>
      </c>
      <c r="Y47" s="254" t="e">
        <f t="shared" si="9"/>
        <v>#DIV/0!</v>
      </c>
      <c r="Z47" s="255" t="e">
        <f t="shared" si="10"/>
        <v>#DIV/0!</v>
      </c>
      <c r="AA47" s="254" t="e">
        <f t="shared" si="8"/>
        <v>#DIV/0!</v>
      </c>
      <c r="AB47" s="296"/>
    </row>
    <row r="48" spans="1:28" ht="18.75">
      <c r="A48" s="104" t="s">
        <v>37</v>
      </c>
      <c r="B48" s="16" t="s">
        <v>9</v>
      </c>
      <c r="C48" s="68" t="s">
        <v>17</v>
      </c>
      <c r="D48" s="211">
        <f>11315/2</f>
        <v>5657.5</v>
      </c>
      <c r="E48" s="339">
        <f>8211/2</f>
        <v>4105.5</v>
      </c>
      <c r="F48" s="340">
        <f>1417/2</f>
        <v>708.5</v>
      </c>
      <c r="G48" s="211">
        <f>273/2</f>
        <v>136.5</v>
      </c>
      <c r="H48" s="339">
        <f>1164/2</f>
        <v>582</v>
      </c>
      <c r="I48" s="348">
        <f>250/2</f>
        <v>125</v>
      </c>
      <c r="J48" s="211">
        <f>'[1]Тар.см.АМК г.Павлодар факт'!$J$51-4586.51380687534</f>
        <v>6147.272400072243</v>
      </c>
      <c r="K48" s="5">
        <f>J48*K69/100</f>
        <v>4640.381914994984</v>
      </c>
      <c r="L48" s="41">
        <f>J48*L69/100</f>
        <v>881.9454567839352</v>
      </c>
      <c r="M48" s="13">
        <f>J48*M69/100</f>
        <v>0</v>
      </c>
      <c r="N48" s="42">
        <f>J48*N69/100</f>
        <v>586.361569610794</v>
      </c>
      <c r="O48" s="6">
        <f>J48*O69/100</f>
        <v>38.583458682529674</v>
      </c>
      <c r="P48" s="13">
        <f t="shared" si="19"/>
        <v>489.7724000722428</v>
      </c>
      <c r="Q48" s="5">
        <f t="shared" si="19"/>
        <v>534.8819149949841</v>
      </c>
      <c r="R48" s="6">
        <f t="shared" si="19"/>
        <v>173.44545678393524</v>
      </c>
      <c r="S48" s="13">
        <f t="shared" si="19"/>
        <v>-136.5</v>
      </c>
      <c r="T48" s="5">
        <f t="shared" si="19"/>
        <v>4.361569610794049</v>
      </c>
      <c r="U48" s="6">
        <f t="shared" si="19"/>
        <v>-86.41654131747032</v>
      </c>
      <c r="V48" s="287">
        <f t="shared" si="5"/>
        <v>0.08657046399862889</v>
      </c>
      <c r="W48" s="255">
        <f t="shared" si="6"/>
        <v>0.13028423212641194</v>
      </c>
      <c r="X48" s="256">
        <f t="shared" si="7"/>
        <v>0.2448065727366764</v>
      </c>
      <c r="Y48" s="254">
        <f t="shared" si="9"/>
        <v>-1</v>
      </c>
      <c r="Z48" s="255">
        <f t="shared" si="10"/>
        <v>0.007494105860470945</v>
      </c>
      <c r="AA48" s="254">
        <f t="shared" si="8"/>
        <v>-0.6913323305397626</v>
      </c>
      <c r="AB48" s="247"/>
    </row>
    <row r="49" spans="1:28" ht="18.75">
      <c r="A49" s="10" t="s">
        <v>38</v>
      </c>
      <c r="B49" s="16" t="s">
        <v>10</v>
      </c>
      <c r="C49" s="68" t="s">
        <v>17</v>
      </c>
      <c r="D49" s="211">
        <f>1499-89</f>
        <v>1410</v>
      </c>
      <c r="E49" s="339">
        <f>D49*E69/100</f>
        <v>1016.9903541635395</v>
      </c>
      <c r="F49" s="340">
        <f>D49*F69/100</f>
        <v>183.67200938651692</v>
      </c>
      <c r="G49" s="341">
        <f>D49*G69/100</f>
        <v>37.906805209865645</v>
      </c>
      <c r="H49" s="342">
        <f>D49*H69/100</f>
        <v>153.1065708349904</v>
      </c>
      <c r="I49" s="340">
        <f>D49*I69/100</f>
        <v>18.324260405087653</v>
      </c>
      <c r="J49" s="211">
        <f>'[1]Тар.см.АМК г.Павлодар факт'!$J$52-1761.47601856649</f>
        <v>1482.9627338102569</v>
      </c>
      <c r="K49" s="5">
        <f>J49*K69/100</f>
        <v>1119.4417625781095</v>
      </c>
      <c r="L49" s="41">
        <f>J49*L69/100</f>
        <v>212.75976734794932</v>
      </c>
      <c r="M49" s="13">
        <f>J49*M69/100</f>
        <v>0</v>
      </c>
      <c r="N49" s="42">
        <f>J49*N69/100</f>
        <v>141.45336332599763</v>
      </c>
      <c r="O49" s="6">
        <f>J49*O69/100</f>
        <v>9.307840558200555</v>
      </c>
      <c r="P49" s="13">
        <f t="shared" si="19"/>
        <v>72.96273381025685</v>
      </c>
      <c r="Q49" s="5">
        <f t="shared" si="19"/>
        <v>102.4514084145701</v>
      </c>
      <c r="R49" s="6">
        <f t="shared" si="19"/>
        <v>29.087757961432402</v>
      </c>
      <c r="S49" s="13">
        <f t="shared" si="19"/>
        <v>-37.906805209865645</v>
      </c>
      <c r="T49" s="5">
        <f t="shared" si="19"/>
        <v>-11.653207508992779</v>
      </c>
      <c r="U49" s="6">
        <f t="shared" si="19"/>
        <v>-9.016419846887098</v>
      </c>
      <c r="V49" s="287">
        <f t="shared" si="5"/>
        <v>0.05174661972358652</v>
      </c>
      <c r="W49" s="255">
        <f t="shared" si="6"/>
        <v>0.10073980347516165</v>
      </c>
      <c r="X49" s="256">
        <f t="shared" si="7"/>
        <v>0.1583679410847001</v>
      </c>
      <c r="Y49" s="254">
        <f t="shared" si="9"/>
        <v>-1</v>
      </c>
      <c r="Z49" s="255">
        <f t="shared" si="10"/>
        <v>-0.07611173998242016</v>
      </c>
      <c r="AA49" s="254">
        <f t="shared" si="8"/>
        <v>-0.49204822718977115</v>
      </c>
      <c r="AB49" s="247"/>
    </row>
    <row r="50" spans="1:28" ht="18.75" customHeight="1">
      <c r="A50" s="438" t="s">
        <v>39</v>
      </c>
      <c r="B50" s="16" t="s">
        <v>40</v>
      </c>
      <c r="C50" s="68" t="s">
        <v>17</v>
      </c>
      <c r="D50" s="40">
        <f>SUM(E50:I50)</f>
        <v>288</v>
      </c>
      <c r="E50" s="5">
        <f aca="true" t="shared" si="20" ref="E50:J50">E52+E53+E54</f>
        <v>210.26158583034055</v>
      </c>
      <c r="F50" s="42">
        <f t="shared" si="20"/>
        <v>37.21448521955375</v>
      </c>
      <c r="G50" s="5">
        <f t="shared" si="20"/>
        <v>4.4570324032395146</v>
      </c>
      <c r="H50" s="5">
        <f t="shared" si="20"/>
        <v>32.84596574765591</v>
      </c>
      <c r="I50" s="42">
        <f t="shared" si="20"/>
        <v>3.2209307992102767</v>
      </c>
      <c r="J50" s="211">
        <f t="shared" si="20"/>
        <v>290.26000256805645</v>
      </c>
      <c r="K50" s="5">
        <f>J50*K69/100</f>
        <v>219.10811477093125</v>
      </c>
      <c r="L50" s="41">
        <f>J50*L69/100</f>
        <v>41.64342718048127</v>
      </c>
      <c r="M50" s="13">
        <f>J50*M69/100</f>
        <v>0</v>
      </c>
      <c r="N50" s="42">
        <f>J50*N69/100</f>
        <v>27.68663882521922</v>
      </c>
      <c r="O50" s="6">
        <f>J50*O69/100</f>
        <v>1.8218217914247543</v>
      </c>
      <c r="P50" s="13">
        <f t="shared" si="19"/>
        <v>2.26000256805645</v>
      </c>
      <c r="Q50" s="5">
        <f t="shared" si="19"/>
        <v>8.846528940590701</v>
      </c>
      <c r="R50" s="6">
        <f t="shared" si="19"/>
        <v>4.428941960927517</v>
      </c>
      <c r="S50" s="13">
        <f t="shared" si="19"/>
        <v>-4.4570324032395146</v>
      </c>
      <c r="T50" s="5">
        <f t="shared" si="19"/>
        <v>-5.159326922436691</v>
      </c>
      <c r="U50" s="6">
        <f t="shared" si="19"/>
        <v>-1.3991090077855224</v>
      </c>
      <c r="V50" s="287">
        <f t="shared" si="5"/>
        <v>0.00784723113908492</v>
      </c>
      <c r="W50" s="255">
        <f t="shared" si="6"/>
        <v>0.04207391904543578</v>
      </c>
      <c r="X50" s="256">
        <f t="shared" si="7"/>
        <v>0.11901123809178471</v>
      </c>
      <c r="Y50" s="254">
        <f t="shared" si="9"/>
        <v>-1</v>
      </c>
      <c r="Z50" s="255">
        <f t="shared" si="10"/>
        <v>-0.15707642643464947</v>
      </c>
      <c r="AA50" s="254">
        <f t="shared" si="8"/>
        <v>-0.43438033754980476</v>
      </c>
      <c r="AB50" s="296"/>
    </row>
    <row r="51" spans="1:28" ht="14.25" customHeight="1">
      <c r="A51" s="438"/>
      <c r="B51" s="16" t="s">
        <v>15</v>
      </c>
      <c r="C51" s="68" t="s">
        <v>17</v>
      </c>
      <c r="D51" s="40"/>
      <c r="E51" s="5"/>
      <c r="F51" s="41"/>
      <c r="G51" s="40"/>
      <c r="H51" s="5"/>
      <c r="I51" s="6"/>
      <c r="J51" s="211"/>
      <c r="K51" s="5"/>
      <c r="L51" s="41"/>
      <c r="M51" s="13"/>
      <c r="N51" s="42"/>
      <c r="O51" s="6"/>
      <c r="P51" s="13"/>
      <c r="Q51" s="5"/>
      <c r="R51" s="6"/>
      <c r="S51" s="13"/>
      <c r="T51" s="5"/>
      <c r="U51" s="6"/>
      <c r="V51" s="287"/>
      <c r="W51" s="255"/>
      <c r="X51" s="256"/>
      <c r="Y51" s="254"/>
      <c r="Z51" s="255"/>
      <c r="AA51" s="254"/>
      <c r="AB51" s="296"/>
    </row>
    <row r="52" spans="1:28" ht="37.5">
      <c r="A52" s="438"/>
      <c r="B52" s="16" t="s">
        <v>101</v>
      </c>
      <c r="C52" s="68" t="s">
        <v>17</v>
      </c>
      <c r="D52" s="40">
        <f>SUM(E52:I52)</f>
        <v>1.5</v>
      </c>
      <c r="E52" s="5">
        <f>3/2</f>
        <v>1.5</v>
      </c>
      <c r="F52" s="41">
        <v>0</v>
      </c>
      <c r="G52" s="40">
        <v>0</v>
      </c>
      <c r="H52" s="5">
        <v>0</v>
      </c>
      <c r="I52" s="6">
        <v>0</v>
      </c>
      <c r="J52" s="211">
        <f>'[1]Тар.см.АМК г.Павлодар факт'!$J$55-2.285484903</f>
        <v>1.1145801999999998</v>
      </c>
      <c r="K52" s="5">
        <f>J52*K69/100</f>
        <v>0.8413614146707912</v>
      </c>
      <c r="L52" s="41">
        <f>J52*L69/100</f>
        <v>0.15990814781524526</v>
      </c>
      <c r="M52" s="13"/>
      <c r="N52" s="42"/>
      <c r="O52" s="6"/>
      <c r="P52" s="13">
        <f aca="true" t="shared" si="21" ref="P52:U67">J52-D52</f>
        <v>-0.3854198000000002</v>
      </c>
      <c r="Q52" s="5">
        <f>K52-E52</f>
        <v>-0.6586385853292088</v>
      </c>
      <c r="R52" s="6">
        <f t="shared" si="21"/>
        <v>0.15990814781524526</v>
      </c>
      <c r="S52" s="13">
        <f t="shared" si="21"/>
        <v>0</v>
      </c>
      <c r="T52" s="5">
        <f t="shared" si="21"/>
        <v>0</v>
      </c>
      <c r="U52" s="6">
        <f t="shared" si="21"/>
        <v>0</v>
      </c>
      <c r="V52" s="287">
        <f t="shared" si="5"/>
        <v>-0.2569465333333335</v>
      </c>
      <c r="W52" s="255">
        <f>K52/E52-1</f>
        <v>-0.43909239021947255</v>
      </c>
      <c r="X52" s="256"/>
      <c r="Y52" s="254"/>
      <c r="Z52" s="255"/>
      <c r="AA52" s="254"/>
      <c r="AB52" s="296"/>
    </row>
    <row r="53" spans="1:28" ht="18.75">
      <c r="A53" s="438"/>
      <c r="B53" s="16" t="s">
        <v>11</v>
      </c>
      <c r="C53" s="68" t="s">
        <v>17</v>
      </c>
      <c r="D53" s="211">
        <f>47-30</f>
        <v>17</v>
      </c>
      <c r="E53" s="339">
        <f>D53*E69/100</f>
        <v>12.261585830340548</v>
      </c>
      <c r="F53" s="340">
        <f>D53*F69/100</f>
        <v>2.2144852195537497</v>
      </c>
      <c r="G53" s="341">
        <f>D53*G69/100</f>
        <v>0.45703240323951483</v>
      </c>
      <c r="H53" s="342">
        <f>D53*H69/100</f>
        <v>1.845965747655913</v>
      </c>
      <c r="I53" s="340">
        <f>D53*I69/100</f>
        <v>0.22093079921027667</v>
      </c>
      <c r="J53" s="211">
        <f>'[1]Тар.см.АМК г.Павлодар факт'!$J$56-98.8238706039</f>
        <v>22.234048878599978</v>
      </c>
      <c r="K53" s="5">
        <f>J53*K69/100</f>
        <v>16.783781748822022</v>
      </c>
      <c r="L53" s="41">
        <f>J53*L69/100</f>
        <v>3.189905557815</v>
      </c>
      <c r="M53" s="13">
        <f>J53*M69/100</f>
        <v>0</v>
      </c>
      <c r="N53" s="42">
        <f>J53*N69/100</f>
        <v>2.1208091899597266</v>
      </c>
      <c r="O53" s="6">
        <f>J53*O69/100</f>
        <v>0.13955238200323217</v>
      </c>
      <c r="P53" s="13">
        <f t="shared" si="21"/>
        <v>5.234048878599978</v>
      </c>
      <c r="Q53" s="5">
        <f t="shared" si="21"/>
        <v>4.522195918481474</v>
      </c>
      <c r="R53" s="6">
        <f t="shared" si="21"/>
        <v>0.9754203382612503</v>
      </c>
      <c r="S53" s="13">
        <f t="shared" si="21"/>
        <v>-0.45703240323951483</v>
      </c>
      <c r="T53" s="5">
        <f t="shared" si="21"/>
        <v>0.2748434423038135</v>
      </c>
      <c r="U53" s="6">
        <f t="shared" si="21"/>
        <v>-0.0813784172070445</v>
      </c>
      <c r="V53" s="287">
        <f>J53/D53-1</f>
        <v>0.30788522815293984</v>
      </c>
      <c r="W53" s="255">
        <f t="shared" si="6"/>
        <v>0.36881003656897104</v>
      </c>
      <c r="X53" s="256">
        <f t="shared" si="7"/>
        <v>0.4404727246081197</v>
      </c>
      <c r="Y53" s="254">
        <f t="shared" si="9"/>
        <v>-1</v>
      </c>
      <c r="Z53" s="255">
        <f t="shared" si="10"/>
        <v>0.14888870102428586</v>
      </c>
      <c r="AA53" s="254">
        <f t="shared" si="8"/>
        <v>-0.36834346998215706</v>
      </c>
      <c r="AB53" s="247"/>
    </row>
    <row r="54" spans="1:28" ht="18.75">
      <c r="A54" s="438"/>
      <c r="B54" s="16" t="s">
        <v>41</v>
      </c>
      <c r="C54" s="68" t="s">
        <v>17</v>
      </c>
      <c r="D54" s="40">
        <f>SUM(E54:I54)</f>
        <v>269.5</v>
      </c>
      <c r="E54" s="5">
        <f>393/2</f>
        <v>196.5</v>
      </c>
      <c r="F54" s="41">
        <f>70/2</f>
        <v>35</v>
      </c>
      <c r="G54" s="40">
        <f>8/2</f>
        <v>4</v>
      </c>
      <c r="H54" s="5">
        <f>62/2</f>
        <v>31</v>
      </c>
      <c r="I54" s="6">
        <f>6/2</f>
        <v>3</v>
      </c>
      <c r="J54" s="211">
        <f>'[1]Тар.см.АМК г.Павлодар факт'!$J$57-270.096783116843</f>
        <v>266.9113734894565</v>
      </c>
      <c r="K54" s="5">
        <f>J54*K69/100</f>
        <v>201.48297160743846</v>
      </c>
      <c r="L54" s="41">
        <f>J54*L69/100</f>
        <v>38.29361347485103</v>
      </c>
      <c r="M54" s="13">
        <f>J54*M69/100</f>
        <v>0</v>
      </c>
      <c r="N54" s="42">
        <f>J54*N69/100</f>
        <v>25.4595146791301</v>
      </c>
      <c r="O54" s="6">
        <f>J54*O69/100</f>
        <v>1.6752737280369525</v>
      </c>
      <c r="P54" s="13">
        <f t="shared" si="21"/>
        <v>-2.58862651054352</v>
      </c>
      <c r="Q54" s="5">
        <f t="shared" si="21"/>
        <v>4.982971607438458</v>
      </c>
      <c r="R54" s="6">
        <f t="shared" si="21"/>
        <v>3.2936134748510284</v>
      </c>
      <c r="S54" s="13">
        <f t="shared" si="21"/>
        <v>-4</v>
      </c>
      <c r="T54" s="5">
        <f t="shared" si="21"/>
        <v>-5.540485320869902</v>
      </c>
      <c r="U54" s="6">
        <f t="shared" si="21"/>
        <v>-1.3247262719630475</v>
      </c>
      <c r="V54" s="287">
        <f t="shared" si="5"/>
        <v>-0.009605293174558494</v>
      </c>
      <c r="W54" s="255">
        <f t="shared" si="6"/>
        <v>0.025358634134546865</v>
      </c>
      <c r="X54" s="256">
        <f t="shared" si="7"/>
        <v>0.09410324213860077</v>
      </c>
      <c r="Y54" s="254">
        <f t="shared" si="9"/>
        <v>-1</v>
      </c>
      <c r="Z54" s="255">
        <f t="shared" si="10"/>
        <v>-0.17872533293128712</v>
      </c>
      <c r="AA54" s="254">
        <f t="shared" si="8"/>
        <v>-0.44157542398768246</v>
      </c>
      <c r="AB54" s="296"/>
    </row>
    <row r="55" spans="1:28" ht="78" customHeight="1">
      <c r="A55" s="105" t="s">
        <v>42</v>
      </c>
      <c r="B55" s="18" t="s">
        <v>43</v>
      </c>
      <c r="C55" s="100" t="s">
        <v>17</v>
      </c>
      <c r="D55" s="40">
        <f>3795/2</f>
        <v>1897.5</v>
      </c>
      <c r="E55" s="5">
        <f>2771/2</f>
        <v>1385.5</v>
      </c>
      <c r="F55" s="41">
        <f>490/2</f>
        <v>245</v>
      </c>
      <c r="G55" s="40">
        <f>58/2</f>
        <v>29</v>
      </c>
      <c r="H55" s="5">
        <f>435/2</f>
        <v>217.5</v>
      </c>
      <c r="I55" s="6">
        <f>41/2</f>
        <v>20.5</v>
      </c>
      <c r="J55" s="211">
        <f>'[1]Тар.см.АМК г.Павлодар факт'!$J$58-2165.65150767245</f>
        <v>2090.595231632228</v>
      </c>
      <c r="K55" s="50">
        <f>J55*K69/100</f>
        <v>1578.1243571257612</v>
      </c>
      <c r="L55" s="51">
        <f>J55*L69/100</f>
        <v>299.93643465198227</v>
      </c>
      <c r="M55" s="13">
        <f>J55*M69/100</f>
        <v>0</v>
      </c>
      <c r="N55" s="53">
        <f>J55*N69/100</f>
        <v>199.41278369676746</v>
      </c>
      <c r="O55" s="51">
        <f>J55*O69/100</f>
        <v>13.121656157717636</v>
      </c>
      <c r="P55" s="52">
        <f t="shared" si="21"/>
        <v>193.0952316322282</v>
      </c>
      <c r="Q55" s="50">
        <f t="shared" si="21"/>
        <v>192.6243571257612</v>
      </c>
      <c r="R55" s="56">
        <f t="shared" si="21"/>
        <v>54.93643465198227</v>
      </c>
      <c r="S55" s="52">
        <f t="shared" si="21"/>
        <v>-29</v>
      </c>
      <c r="T55" s="50">
        <f t="shared" si="21"/>
        <v>-18.087216303232537</v>
      </c>
      <c r="U55" s="56">
        <f t="shared" si="21"/>
        <v>-7.378343842282364</v>
      </c>
      <c r="V55" s="287">
        <f t="shared" si="5"/>
        <v>0.1017629679221228</v>
      </c>
      <c r="W55" s="255">
        <f t="shared" si="6"/>
        <v>0.13902876732281566</v>
      </c>
      <c r="X55" s="256">
        <f t="shared" si="7"/>
        <v>0.22423034551829502</v>
      </c>
      <c r="Y55" s="254">
        <f t="shared" si="9"/>
        <v>-1</v>
      </c>
      <c r="Z55" s="255">
        <f t="shared" si="10"/>
        <v>-0.08315961518727599</v>
      </c>
      <c r="AA55" s="254">
        <f t="shared" si="8"/>
        <v>-0.35991921181865194</v>
      </c>
      <c r="AB55" s="247" t="s">
        <v>139</v>
      </c>
    </row>
    <row r="56" spans="1:28" ht="29.25" customHeight="1">
      <c r="A56" s="10" t="s">
        <v>44</v>
      </c>
      <c r="B56" s="16" t="s">
        <v>45</v>
      </c>
      <c r="C56" s="68" t="s">
        <v>17</v>
      </c>
      <c r="D56" s="211">
        <f>72.5-40</f>
        <v>32.5</v>
      </c>
      <c r="E56" s="339">
        <f>D56*E69/100</f>
        <v>23.441267028592225</v>
      </c>
      <c r="F56" s="340">
        <f>D56*F69/100</f>
        <v>4.233574684440993</v>
      </c>
      <c r="G56" s="341">
        <f>D56*G69/100</f>
        <v>0.873738417957896</v>
      </c>
      <c r="H56" s="342">
        <f>D56*H69/100</f>
        <v>3.529052164636304</v>
      </c>
      <c r="I56" s="340">
        <f>D56*I69/100</f>
        <v>0.42236770437258775</v>
      </c>
      <c r="J56" s="211">
        <f>'[1]Тар.см.АМК г.Павлодар факт'!$J$59-112.6820384</f>
        <v>31.425819749999974</v>
      </c>
      <c r="K56" s="5">
        <f>J56*K69/100</f>
        <v>23.722359469555684</v>
      </c>
      <c r="L56" s="41">
        <f>J56*L69/100</f>
        <v>4.508643370659421</v>
      </c>
      <c r="M56" s="13">
        <f>J56*M69/100</f>
        <v>0</v>
      </c>
      <c r="N56" s="42">
        <f>J56*N69/100</f>
        <v>2.9975722232024924</v>
      </c>
      <c r="O56" s="41">
        <f>J56*O69/100</f>
        <v>0.19724468658237748</v>
      </c>
      <c r="P56" s="13">
        <f t="shared" si="21"/>
        <v>-1.0741802500000261</v>
      </c>
      <c r="Q56" s="5">
        <f t="shared" si="21"/>
        <v>0.28109244096345876</v>
      </c>
      <c r="R56" s="6">
        <f t="shared" si="21"/>
        <v>0.27506868621842795</v>
      </c>
      <c r="S56" s="13">
        <f t="shared" si="21"/>
        <v>-0.873738417957896</v>
      </c>
      <c r="T56" s="5">
        <f t="shared" si="21"/>
        <v>-0.5314799414338114</v>
      </c>
      <c r="U56" s="6">
        <f t="shared" si="21"/>
        <v>-0.22512301779021027</v>
      </c>
      <c r="V56" s="288">
        <f t="shared" si="5"/>
        <v>-0.033051700000000794</v>
      </c>
      <c r="W56" s="243">
        <f t="shared" si="6"/>
        <v>0.011991350152728453</v>
      </c>
      <c r="X56" s="244">
        <f t="shared" si="7"/>
        <v>0.06497315075823407</v>
      </c>
      <c r="Y56" s="245">
        <f t="shared" si="9"/>
        <v>-1</v>
      </c>
      <c r="Z56" s="243">
        <f t="shared" si="10"/>
        <v>-0.15060132767648804</v>
      </c>
      <c r="AA56" s="245">
        <f t="shared" si="8"/>
        <v>-0.5330024418524673</v>
      </c>
      <c r="AB56" s="247"/>
    </row>
    <row r="57" spans="1:28" ht="18.75">
      <c r="A57" s="105" t="s">
        <v>72</v>
      </c>
      <c r="B57" s="18" t="s">
        <v>46</v>
      </c>
      <c r="C57" s="100" t="s">
        <v>17</v>
      </c>
      <c r="D57" s="217">
        <f>3.5-3.5</f>
        <v>0</v>
      </c>
      <c r="E57" s="339">
        <f>D57*E70/100</f>
        <v>0</v>
      </c>
      <c r="F57" s="340">
        <f>D57*F70/100</f>
        <v>0</v>
      </c>
      <c r="G57" s="341">
        <f>D57*G70/100</f>
        <v>0</v>
      </c>
      <c r="H57" s="342">
        <f>D57*H70/100</f>
        <v>0</v>
      </c>
      <c r="I57" s="340">
        <f>D57*I70/100</f>
        <v>0</v>
      </c>
      <c r="J57" s="217">
        <f>24-82.294+58.294</f>
        <v>0</v>
      </c>
      <c r="K57" s="50">
        <f>J57*K69/100</f>
        <v>0</v>
      </c>
      <c r="L57" s="51">
        <f>J57*L69/100</f>
        <v>0</v>
      </c>
      <c r="M57" s="52">
        <f>J57*M69/100</f>
        <v>0</v>
      </c>
      <c r="N57" s="50">
        <f>J57*N69/100</f>
        <v>0</v>
      </c>
      <c r="O57" s="51">
        <f>J57*O69/100</f>
        <v>0</v>
      </c>
      <c r="P57" s="51">
        <f t="shared" si="21"/>
        <v>0</v>
      </c>
      <c r="Q57" s="50">
        <f t="shared" si="21"/>
        <v>0</v>
      </c>
      <c r="R57" s="56">
        <f t="shared" si="21"/>
        <v>0</v>
      </c>
      <c r="S57" s="52">
        <f t="shared" si="21"/>
        <v>0</v>
      </c>
      <c r="T57" s="50">
        <f t="shared" si="21"/>
        <v>0</v>
      </c>
      <c r="U57" s="56">
        <f t="shared" si="21"/>
        <v>0</v>
      </c>
      <c r="V57" s="287"/>
      <c r="W57" s="255"/>
      <c r="X57" s="256"/>
      <c r="Y57" s="254"/>
      <c r="Z57" s="255"/>
      <c r="AA57" s="254"/>
      <c r="AB57" s="299"/>
    </row>
    <row r="58" spans="1:28" ht="37.5">
      <c r="A58" s="10" t="s">
        <v>47</v>
      </c>
      <c r="B58" s="16" t="s">
        <v>68</v>
      </c>
      <c r="C58" s="68" t="s">
        <v>17</v>
      </c>
      <c r="D58" s="40">
        <f>SUM(E58:I58)</f>
        <v>24</v>
      </c>
      <c r="E58" s="5">
        <f>36/2</f>
        <v>18</v>
      </c>
      <c r="F58" s="41">
        <f>6/2</f>
        <v>3</v>
      </c>
      <c r="G58" s="40">
        <f>1/2</f>
        <v>0.5</v>
      </c>
      <c r="H58" s="5">
        <f>5/2</f>
        <v>2.5</v>
      </c>
      <c r="I58" s="6">
        <v>0</v>
      </c>
      <c r="J58" s="211">
        <f>'[1]Тар.см.АМК г.Павлодар факт'!$J$61-142.85254218</f>
        <v>142.41246542000005</v>
      </c>
      <c r="K58" s="5">
        <f>J58*K69/100</f>
        <v>107.50267533240444</v>
      </c>
      <c r="L58" s="41">
        <f>J58*L69/100</f>
        <v>20.43183036188412</v>
      </c>
      <c r="M58" s="13">
        <f>J58*M69/100</f>
        <v>0</v>
      </c>
      <c r="N58" s="5">
        <f>J58*N69/100</f>
        <v>13.584105489588001</v>
      </c>
      <c r="O58" s="41">
        <f>J58*O69/100</f>
        <v>0.8938542361235176</v>
      </c>
      <c r="P58" s="41">
        <f t="shared" si="21"/>
        <v>118.41246542000005</v>
      </c>
      <c r="Q58" s="5">
        <f t="shared" si="21"/>
        <v>89.50267533240444</v>
      </c>
      <c r="R58" s="6">
        <f t="shared" si="21"/>
        <v>17.43183036188412</v>
      </c>
      <c r="S58" s="13">
        <f t="shared" si="21"/>
        <v>-0.5</v>
      </c>
      <c r="T58" s="5">
        <f t="shared" si="21"/>
        <v>11.084105489588001</v>
      </c>
      <c r="U58" s="6">
        <f t="shared" si="21"/>
        <v>0.8938542361235176</v>
      </c>
      <c r="V58" s="287">
        <f t="shared" si="5"/>
        <v>4.933852725833336</v>
      </c>
      <c r="W58" s="255">
        <f t="shared" si="6"/>
        <v>4.972370851800246</v>
      </c>
      <c r="X58" s="256">
        <f t="shared" si="7"/>
        <v>5.8106101206280405</v>
      </c>
      <c r="Y58" s="254">
        <f t="shared" si="9"/>
        <v>-1</v>
      </c>
      <c r="Z58" s="255">
        <f t="shared" si="10"/>
        <v>4.4336421958352</v>
      </c>
      <c r="AA58" s="254"/>
      <c r="AB58" s="247" t="s">
        <v>137</v>
      </c>
    </row>
    <row r="59" spans="1:28" ht="24.75" customHeight="1">
      <c r="A59" s="10" t="s">
        <v>67</v>
      </c>
      <c r="B59" s="16" t="s">
        <v>48</v>
      </c>
      <c r="C59" s="68" t="s">
        <v>17</v>
      </c>
      <c r="D59" s="40">
        <f>SUM(E59:I59)</f>
        <v>102.7</v>
      </c>
      <c r="E59" s="5">
        <f>150/2</f>
        <v>75</v>
      </c>
      <c r="F59" s="41">
        <f>26/2</f>
        <v>13</v>
      </c>
      <c r="G59" s="40">
        <f>3/2</f>
        <v>1.5</v>
      </c>
      <c r="H59" s="5">
        <f>(24+0.4)/2</f>
        <v>12.2</v>
      </c>
      <c r="I59" s="6">
        <f>2/2</f>
        <v>1</v>
      </c>
      <c r="J59" s="211">
        <f>'[1]Тар.см.АМК г.Павлодар факт'!$J$62-98.24547451</f>
        <v>106.22464934</v>
      </c>
      <c r="K59" s="5">
        <f>J59*K69/100</f>
        <v>80.18563513115623</v>
      </c>
      <c r="L59" s="41">
        <f>J59*L69/100</f>
        <v>15.239986255168823</v>
      </c>
      <c r="M59" s="13">
        <f>J59*M69/100</f>
        <v>0</v>
      </c>
      <c r="N59" s="5">
        <f>J59*N69/100</f>
        <v>10.132307154247242</v>
      </c>
      <c r="O59" s="41">
        <f>J59*O69/100</f>
        <v>0.6667207994277148</v>
      </c>
      <c r="P59" s="41">
        <f t="shared" si="21"/>
        <v>3.5246493399999963</v>
      </c>
      <c r="Q59" s="5">
        <f t="shared" si="21"/>
        <v>5.185635131156232</v>
      </c>
      <c r="R59" s="6">
        <f t="shared" si="21"/>
        <v>2.239986255168823</v>
      </c>
      <c r="S59" s="13">
        <f t="shared" si="21"/>
        <v>-1.5</v>
      </c>
      <c r="T59" s="5">
        <f t="shared" si="21"/>
        <v>-2.0676928457527577</v>
      </c>
      <c r="U59" s="41">
        <f t="shared" si="21"/>
        <v>-0.3332792005722852</v>
      </c>
      <c r="V59" s="287">
        <f t="shared" si="5"/>
        <v>0.03431985725413833</v>
      </c>
      <c r="W59" s="255">
        <f t="shared" si="6"/>
        <v>0.06914180174874973</v>
      </c>
      <c r="X59" s="256">
        <f t="shared" si="7"/>
        <v>0.1723066350129865</v>
      </c>
      <c r="Y59" s="254">
        <f t="shared" si="9"/>
        <v>-1</v>
      </c>
      <c r="Z59" s="255">
        <f t="shared" si="10"/>
        <v>-0.16948302014366867</v>
      </c>
      <c r="AA59" s="254">
        <f t="shared" si="8"/>
        <v>-0.3332792005722852</v>
      </c>
      <c r="AB59" s="296"/>
    </row>
    <row r="60" spans="1:28" ht="22.5" customHeight="1">
      <c r="A60" s="105" t="s">
        <v>49</v>
      </c>
      <c r="B60" s="18" t="s">
        <v>7</v>
      </c>
      <c r="C60" s="100" t="s">
        <v>17</v>
      </c>
      <c r="D60" s="55">
        <f>270.5-270.5</f>
        <v>0</v>
      </c>
      <c r="E60" s="339">
        <f>D60*E69/100</f>
        <v>0</v>
      </c>
      <c r="F60" s="340">
        <f>D60*F69/100</f>
        <v>0</v>
      </c>
      <c r="G60" s="341">
        <f>D60*G69/100</f>
        <v>0</v>
      </c>
      <c r="H60" s="342">
        <f>D60*H69/100</f>
        <v>0</v>
      </c>
      <c r="I60" s="340">
        <f>D60*I69/100</f>
        <v>0</v>
      </c>
      <c r="J60" s="217">
        <f>'[1]Тар.см.АМК г.Павлодар факт'!$J$63-564.106842</f>
        <v>0</v>
      </c>
      <c r="K60" s="50">
        <f>J60*K69/100</f>
        <v>0</v>
      </c>
      <c r="L60" s="51">
        <f>J60*L69/100</f>
        <v>0</v>
      </c>
      <c r="M60" s="52">
        <f>J60*M69/100</f>
        <v>0</v>
      </c>
      <c r="N60" s="50">
        <f>J60*N69/100</f>
        <v>0</v>
      </c>
      <c r="O60" s="51">
        <f>J60*O69/100</f>
        <v>0</v>
      </c>
      <c r="P60" s="51">
        <f t="shared" si="21"/>
        <v>0</v>
      </c>
      <c r="Q60" s="50">
        <f t="shared" si="21"/>
        <v>0</v>
      </c>
      <c r="R60" s="51">
        <f t="shared" si="21"/>
        <v>0</v>
      </c>
      <c r="S60" s="52">
        <f t="shared" si="21"/>
        <v>0</v>
      </c>
      <c r="T60" s="50">
        <f t="shared" si="21"/>
        <v>0</v>
      </c>
      <c r="U60" s="51">
        <f t="shared" si="21"/>
        <v>0</v>
      </c>
      <c r="V60" s="287"/>
      <c r="W60" s="255"/>
      <c r="X60" s="256"/>
      <c r="Y60" s="254"/>
      <c r="Z60" s="255"/>
      <c r="AA60" s="254"/>
      <c r="AB60" s="248"/>
    </row>
    <row r="61" spans="1:28" ht="25.5" customHeight="1" hidden="1" collapsed="1">
      <c r="A61" s="96">
        <v>7</v>
      </c>
      <c r="B61" s="101" t="s">
        <v>69</v>
      </c>
      <c r="C61" s="102" t="s">
        <v>17</v>
      </c>
      <c r="D61" s="43"/>
      <c r="E61" s="47"/>
      <c r="F61" s="48"/>
      <c r="G61" s="43"/>
      <c r="H61" s="47"/>
      <c r="I61" s="49"/>
      <c r="J61" s="215"/>
      <c r="K61" s="8"/>
      <c r="L61" s="44"/>
      <c r="M61" s="9"/>
      <c r="N61" s="8"/>
      <c r="O61" s="44"/>
      <c r="P61" s="41"/>
      <c r="Q61" s="5"/>
      <c r="R61" s="6"/>
      <c r="S61" s="13"/>
      <c r="T61" s="5"/>
      <c r="U61" s="6"/>
      <c r="V61" s="287" t="e">
        <f t="shared" si="5"/>
        <v>#DIV/0!</v>
      </c>
      <c r="W61" s="255" t="e">
        <f t="shared" si="6"/>
        <v>#DIV/0!</v>
      </c>
      <c r="X61" s="256" t="e">
        <f t="shared" si="7"/>
        <v>#DIV/0!</v>
      </c>
      <c r="Y61" s="254" t="e">
        <f t="shared" si="9"/>
        <v>#DIV/0!</v>
      </c>
      <c r="Z61" s="255" t="e">
        <f t="shared" si="10"/>
        <v>#DIV/0!</v>
      </c>
      <c r="AA61" s="254" t="e">
        <f t="shared" si="8"/>
        <v>#DIV/0!</v>
      </c>
      <c r="AB61" s="296"/>
    </row>
    <row r="62" spans="1:28" ht="18.75">
      <c r="A62" s="7" t="s">
        <v>20</v>
      </c>
      <c r="B62" s="101" t="s">
        <v>50</v>
      </c>
      <c r="C62" s="102" t="s">
        <v>17</v>
      </c>
      <c r="D62" s="43">
        <f>SUM(E62:I62)</f>
        <v>62941.700000000004</v>
      </c>
      <c r="E62" s="8">
        <f aca="true" t="shared" si="22" ref="E62:O62">E61+E42+E38+E33+E29+E37</f>
        <v>46119.47983915811</v>
      </c>
      <c r="F62" s="44">
        <f t="shared" si="22"/>
        <v>8143.595340031803</v>
      </c>
      <c r="G62" s="43">
        <f t="shared" si="22"/>
        <v>1542.4643953776845</v>
      </c>
      <c r="H62" s="8">
        <f t="shared" si="22"/>
        <v>6141.507490706971</v>
      </c>
      <c r="I62" s="15">
        <f t="shared" si="22"/>
        <v>994.6529347254293</v>
      </c>
      <c r="J62" s="212">
        <f>J61+J42+J38+J33+J29+J37-58</f>
        <v>89531.81122307715</v>
      </c>
      <c r="K62" s="8">
        <f>K61+K42+K38+K33+K29+K37-58</f>
        <v>67570.52086439122</v>
      </c>
      <c r="L62" s="44">
        <f t="shared" si="22"/>
        <v>12853.396082040344</v>
      </c>
      <c r="M62" s="9">
        <f t="shared" si="22"/>
        <v>0</v>
      </c>
      <c r="N62" s="8">
        <f t="shared" si="22"/>
        <v>8545.582318636294</v>
      </c>
      <c r="O62" s="44">
        <f t="shared" si="22"/>
        <v>562.3119580093128</v>
      </c>
      <c r="P62" s="44"/>
      <c r="Q62" s="8"/>
      <c r="R62" s="15"/>
      <c r="S62" s="9"/>
      <c r="T62" s="8"/>
      <c r="U62" s="15"/>
      <c r="V62" s="287">
        <f t="shared" si="5"/>
        <v>0.4224561971328571</v>
      </c>
      <c r="W62" s="255">
        <f t="shared" si="6"/>
        <v>0.4651188846891532</v>
      </c>
      <c r="X62" s="256">
        <f t="shared" si="7"/>
        <v>0.5783441521039709</v>
      </c>
      <c r="Y62" s="254">
        <f t="shared" si="9"/>
        <v>-1</v>
      </c>
      <c r="Z62" s="255">
        <f t="shared" si="10"/>
        <v>0.39144702364477313</v>
      </c>
      <c r="AA62" s="254">
        <f t="shared" si="8"/>
        <v>-0.43466515969760133</v>
      </c>
      <c r="AB62" s="296"/>
    </row>
    <row r="63" spans="1:28" ht="23.25" customHeight="1">
      <c r="A63" s="7" t="s">
        <v>51</v>
      </c>
      <c r="B63" s="101" t="s">
        <v>74</v>
      </c>
      <c r="C63" s="102" t="s">
        <v>17</v>
      </c>
      <c r="D63" s="43">
        <f aca="true" t="shared" si="23" ref="D63:O63">D62+D19</f>
        <v>2708840.0372361</v>
      </c>
      <c r="E63" s="8">
        <f t="shared" si="23"/>
        <v>1858933.8607591582</v>
      </c>
      <c r="F63" s="44">
        <f t="shared" si="23"/>
        <v>339600.46471003175</v>
      </c>
      <c r="G63" s="43">
        <f t="shared" si="23"/>
        <v>133838.32039537767</v>
      </c>
      <c r="H63" s="8">
        <f t="shared" si="23"/>
        <v>360705.8677907069</v>
      </c>
      <c r="I63" s="15">
        <f t="shared" si="23"/>
        <v>15761.52358082543</v>
      </c>
      <c r="J63" s="212">
        <f t="shared" si="23"/>
        <v>2457932.0089601693</v>
      </c>
      <c r="K63" s="8">
        <f t="shared" si="23"/>
        <v>1821848.8256246478</v>
      </c>
      <c r="L63" s="44">
        <f t="shared" si="23"/>
        <v>326623.6557688762</v>
      </c>
      <c r="M63" s="9">
        <f t="shared" si="23"/>
        <v>0</v>
      </c>
      <c r="N63" s="8">
        <f t="shared" si="23"/>
        <v>302173.73561863624</v>
      </c>
      <c r="O63" s="44">
        <f t="shared" si="23"/>
        <v>7285.791948009312</v>
      </c>
      <c r="P63" s="44">
        <f t="shared" si="21"/>
        <v>-250908.0282759308</v>
      </c>
      <c r="Q63" s="8">
        <f t="shared" si="21"/>
        <v>-37085.03513451037</v>
      </c>
      <c r="R63" s="15">
        <f t="shared" si="21"/>
        <v>-12976.808941155556</v>
      </c>
      <c r="S63" s="9">
        <f t="shared" si="21"/>
        <v>-133838.32039537767</v>
      </c>
      <c r="T63" s="8">
        <f t="shared" si="21"/>
        <v>-58532.13217207068</v>
      </c>
      <c r="U63" s="15">
        <f t="shared" si="21"/>
        <v>-8475.731632816118</v>
      </c>
      <c r="V63" s="287">
        <f t="shared" si="5"/>
        <v>-0.09262563489424014</v>
      </c>
      <c r="W63" s="255">
        <f t="shared" si="6"/>
        <v>-0.019949625921260816</v>
      </c>
      <c r="X63" s="256">
        <f t="shared" si="7"/>
        <v>-0.038211988173325384</v>
      </c>
      <c r="Y63" s="254">
        <f t="shared" si="9"/>
        <v>-1</v>
      </c>
      <c r="Z63" s="255">
        <f t="shared" si="10"/>
        <v>-0.16227108400141943</v>
      </c>
      <c r="AA63" s="254">
        <f t="shared" si="8"/>
        <v>-0.5377482442831357</v>
      </c>
      <c r="AB63" s="296"/>
    </row>
    <row r="64" spans="1:28" ht="47.25">
      <c r="A64" s="7" t="s">
        <v>52</v>
      </c>
      <c r="B64" s="101" t="s">
        <v>53</v>
      </c>
      <c r="C64" s="102" t="s">
        <v>17</v>
      </c>
      <c r="D64" s="43">
        <f>SUM(E64:I64)</f>
        <v>987.5</v>
      </c>
      <c r="E64" s="8">
        <f>1442/2</f>
        <v>721</v>
      </c>
      <c r="F64" s="44">
        <f>255/2</f>
        <v>127.5</v>
      </c>
      <c r="G64" s="43">
        <f>30/2</f>
        <v>15</v>
      </c>
      <c r="H64" s="8">
        <f>226/2</f>
        <v>113</v>
      </c>
      <c r="I64" s="15">
        <f>22/2</f>
        <v>11</v>
      </c>
      <c r="J64" s="212">
        <f>J65-J63</f>
        <v>-141808.12401512358</v>
      </c>
      <c r="K64" s="8">
        <f>J64*K69/100</f>
        <v>-107046.47708004808</v>
      </c>
      <c r="L64" s="44">
        <f>J64*L69/100</f>
        <v>-20345.12586569636</v>
      </c>
      <c r="M64" s="9">
        <f>J64*M69/100</f>
        <v>0</v>
      </c>
      <c r="N64" s="189">
        <f>J64*N69/100</f>
        <v>-13526.459992254908</v>
      </c>
      <c r="O64" s="15">
        <f>J64*O69/100</f>
        <v>-890.0610771242647</v>
      </c>
      <c r="P64" s="44">
        <f t="shared" si="21"/>
        <v>-142795.62401512358</v>
      </c>
      <c r="Q64" s="8">
        <f t="shared" si="21"/>
        <v>-107767.47708004808</v>
      </c>
      <c r="R64" s="15">
        <f t="shared" si="21"/>
        <v>-20472.62586569636</v>
      </c>
      <c r="S64" s="9">
        <f t="shared" si="21"/>
        <v>-15</v>
      </c>
      <c r="T64" s="8">
        <f t="shared" si="21"/>
        <v>-13639.459992254908</v>
      </c>
      <c r="U64" s="15">
        <f t="shared" si="21"/>
        <v>-901.0610771242647</v>
      </c>
      <c r="V64" s="287">
        <f>J64/D64-1</f>
        <v>-144.60316355961882</v>
      </c>
      <c r="W64" s="255">
        <f t="shared" si="6"/>
        <v>-149.46945503474075</v>
      </c>
      <c r="X64" s="256">
        <f t="shared" si="7"/>
        <v>-160.56961463291262</v>
      </c>
      <c r="Y64" s="254">
        <f t="shared" si="9"/>
        <v>-1</v>
      </c>
      <c r="Z64" s="255">
        <f t="shared" si="10"/>
        <v>-120.70318577216733</v>
      </c>
      <c r="AA64" s="254">
        <f t="shared" si="8"/>
        <v>-81.91464337493315</v>
      </c>
      <c r="AB64" s="248" t="s">
        <v>113</v>
      </c>
    </row>
    <row r="65" spans="1:28" ht="25.5" customHeight="1" thickBot="1">
      <c r="A65" s="134" t="s">
        <v>54</v>
      </c>
      <c r="B65" s="106" t="s">
        <v>55</v>
      </c>
      <c r="C65" s="107" t="s">
        <v>17</v>
      </c>
      <c r="D65" s="58">
        <f aca="true" t="shared" si="24" ref="D65:I65">D64+D63</f>
        <v>2709827.5372361</v>
      </c>
      <c r="E65" s="59">
        <f>E64+E63</f>
        <v>1859654.8607591582</v>
      </c>
      <c r="F65" s="57">
        <f t="shared" si="24"/>
        <v>339727.96471003175</v>
      </c>
      <c r="G65" s="58">
        <f t="shared" si="24"/>
        <v>133853.32039537767</v>
      </c>
      <c r="H65" s="59">
        <f t="shared" si="24"/>
        <v>360818.8677907069</v>
      </c>
      <c r="I65" s="57">
        <f t="shared" si="24"/>
        <v>15772.52358082543</v>
      </c>
      <c r="J65" s="218">
        <f>SUM(K65:O65)</f>
        <v>2316123.8849450457</v>
      </c>
      <c r="K65" s="59">
        <f>'[1]Тар.см.АМК г.Павлодар факт'!$K$69-2398979.8746044</f>
        <v>1711651.6515034442</v>
      </c>
      <c r="L65" s="57">
        <f>'[1]Тар.см.АМК г.Павлодар факт'!$L$69-395259.353703</f>
        <v>298810.8271616015</v>
      </c>
      <c r="M65" s="91">
        <f>'[1]Тар.см.АМК г.Павлодар факт'!$M$69-12005.45388</f>
        <v>0</v>
      </c>
      <c r="N65" s="59">
        <f>'[1]Тар.см.АМК г.Павлодар факт'!$N$69-367282.1025</f>
        <v>298610.2972199999</v>
      </c>
      <c r="O65" s="57">
        <f>'[1]Тар.см.АМК г.Павлодар факт'!$O$69-19118.25962</f>
        <v>7051.109059999995</v>
      </c>
      <c r="P65" s="44">
        <f>J65-D65</f>
        <v>-393703.6522910544</v>
      </c>
      <c r="Q65" s="8">
        <f t="shared" si="21"/>
        <v>-148003.20925571397</v>
      </c>
      <c r="R65" s="15">
        <f t="shared" si="21"/>
        <v>-40917.13754843024</v>
      </c>
      <c r="S65" s="9">
        <f t="shared" si="21"/>
        <v>-133853.32039537767</v>
      </c>
      <c r="T65" s="8">
        <f t="shared" si="21"/>
        <v>-62208.57057070703</v>
      </c>
      <c r="U65" s="15">
        <f t="shared" si="21"/>
        <v>-8721.414520825434</v>
      </c>
      <c r="V65" s="293">
        <f t="shared" si="5"/>
        <v>-0.14528734647541963</v>
      </c>
      <c r="W65" s="251">
        <f t="shared" si="6"/>
        <v>-0.07958638582822586</v>
      </c>
      <c r="X65" s="252">
        <f t="shared" si="7"/>
        <v>-0.12044088741223957</v>
      </c>
      <c r="Y65" s="250">
        <f t="shared" si="9"/>
        <v>-1</v>
      </c>
      <c r="Z65" s="251">
        <f t="shared" si="10"/>
        <v>-0.17240941681240218</v>
      </c>
      <c r="AA65" s="250">
        <f t="shared" si="8"/>
        <v>-0.5529498482682892</v>
      </c>
      <c r="AB65" s="297"/>
    </row>
    <row r="66" spans="1:28" ht="21.75" customHeight="1" thickBot="1">
      <c r="A66" s="127" t="s">
        <v>56</v>
      </c>
      <c r="B66" s="108" t="s">
        <v>57</v>
      </c>
      <c r="C66" s="109" t="s">
        <v>17</v>
      </c>
      <c r="D66" s="84">
        <f aca="true" t="shared" si="25" ref="D66:L66">D62+D64</f>
        <v>63929.200000000004</v>
      </c>
      <c r="E66" s="85">
        <f t="shared" si="25"/>
        <v>46840.47983915811</v>
      </c>
      <c r="F66" s="86">
        <f>F62+F64</f>
        <v>8271.095340031803</v>
      </c>
      <c r="G66" s="84">
        <f t="shared" si="25"/>
        <v>1557.4643953776845</v>
      </c>
      <c r="H66" s="88">
        <f t="shared" si="25"/>
        <v>6254.507490706971</v>
      </c>
      <c r="I66" s="86">
        <f t="shared" si="25"/>
        <v>1005.6529347254293</v>
      </c>
      <c r="J66" s="218">
        <f>J62+J64</f>
        <v>-52276.31279204643</v>
      </c>
      <c r="K66" s="88">
        <f>K62+K64</f>
        <v>-39475.95621565686</v>
      </c>
      <c r="L66" s="86">
        <f t="shared" si="25"/>
        <v>-7491.729783656014</v>
      </c>
      <c r="M66" s="89">
        <f>M62+M64</f>
        <v>0</v>
      </c>
      <c r="N66" s="90">
        <f>N62+N64</f>
        <v>-4980.877673618614</v>
      </c>
      <c r="O66" s="87">
        <f>O62+O64</f>
        <v>-327.7491191149519</v>
      </c>
      <c r="P66" s="57">
        <f t="shared" si="21"/>
        <v>-116205.51279204644</v>
      </c>
      <c r="Q66" s="59">
        <f t="shared" si="21"/>
        <v>-86316.43605481497</v>
      </c>
      <c r="R66" s="257">
        <f t="shared" si="21"/>
        <v>-15762.825123687817</v>
      </c>
      <c r="S66" s="91">
        <f t="shared" si="21"/>
        <v>-1557.4643953776845</v>
      </c>
      <c r="T66" s="59">
        <f t="shared" si="21"/>
        <v>-11235.385164325584</v>
      </c>
      <c r="U66" s="257">
        <f t="shared" si="21"/>
        <v>-1333.402053840381</v>
      </c>
      <c r="V66" s="290">
        <f>J66/D66-1</f>
        <v>-1.8177219923297403</v>
      </c>
      <c r="W66" s="291">
        <f t="shared" si="6"/>
        <v>-1.8427743770177052</v>
      </c>
      <c r="X66" s="292">
        <f t="shared" si="7"/>
        <v>-1.9057723887423124</v>
      </c>
      <c r="Y66" s="285">
        <f t="shared" si="9"/>
        <v>-1</v>
      </c>
      <c r="Z66" s="291">
        <f t="shared" si="10"/>
        <v>-1.7963660897391627</v>
      </c>
      <c r="AA66" s="285">
        <f t="shared" si="8"/>
        <v>-1.325906789308417</v>
      </c>
      <c r="AB66" s="298"/>
    </row>
    <row r="67" spans="1:28" ht="53.25" customHeight="1" thickBot="1">
      <c r="A67" s="21" t="s">
        <v>58</v>
      </c>
      <c r="B67" s="110" t="s">
        <v>59</v>
      </c>
      <c r="C67" s="111" t="s">
        <v>60</v>
      </c>
      <c r="D67" s="219">
        <f>SUM(E67:I67)</f>
        <v>1145.6518099999998</v>
      </c>
      <c r="E67" s="351">
        <f>'[2]Дох и рас по теплу по среднему '!$FX$203+'[2]Дох и рас по теплу по среднему '!$FX$230</f>
        <v>826.3239999999998</v>
      </c>
      <c r="F67" s="352">
        <f>'[2]Дох и рас по теплу по среднему '!$FX$215+'[2]Дох и рас по теплу по среднему '!$FX$242</f>
        <v>149.23700000000002</v>
      </c>
      <c r="G67" s="219">
        <f>'[2]Дох и рас по теплу по среднему '!$FX$125</f>
        <v>30.8</v>
      </c>
      <c r="H67" s="351">
        <f>'[2]Дох и рас по теплу по среднему '!$FX$191</f>
        <v>124.40199999999999</v>
      </c>
      <c r="I67" s="352">
        <f>'[2]Дох и рас по теплу по среднему '!$FX$194</f>
        <v>14.888810000000001</v>
      </c>
      <c r="J67" s="219">
        <f>K67+L67+M67+N67+O67</f>
        <v>1080.0576470600001</v>
      </c>
      <c r="K67" s="22">
        <f>'[1]Тар.см.АМК г.Павлодар факт'!$K$71-1126.576487</f>
        <v>815.3014290550002</v>
      </c>
      <c r="L67" s="60">
        <f>'[1]Тар.см.АМК г.Павлодар факт'!$L$71-205.187394</f>
        <v>154.95521800500003</v>
      </c>
      <c r="M67" s="24">
        <f>'[1]Тар.см.АМК г.Павлодар факт'!$M$71-2.828</f>
        <v>0</v>
      </c>
      <c r="N67" s="61">
        <f>'[1]Тар.см.АМК г.Павлодар факт'!$N$71-131.855</f>
        <v>103.02200000000002</v>
      </c>
      <c r="O67" s="23">
        <f>'[1]Тар.см.АМК г.Павлодар факт'!$O$71-18.721</f>
        <v>6.779</v>
      </c>
      <c r="P67" s="89">
        <f t="shared" si="21"/>
        <v>-65.5941629399997</v>
      </c>
      <c r="Q67" s="88">
        <f t="shared" si="21"/>
        <v>-11.022570944999643</v>
      </c>
      <c r="R67" s="258">
        <f t="shared" si="21"/>
        <v>5.718218005000011</v>
      </c>
      <c r="S67" s="89">
        <f t="shared" si="21"/>
        <v>-30.8</v>
      </c>
      <c r="T67" s="85">
        <f t="shared" si="21"/>
        <v>-21.379999999999967</v>
      </c>
      <c r="U67" s="259">
        <f t="shared" si="21"/>
        <v>-8.109810000000001</v>
      </c>
      <c r="V67" s="290">
        <f t="shared" si="5"/>
        <v>-0.05725488526919864</v>
      </c>
      <c r="W67" s="291">
        <f t="shared" si="6"/>
        <v>-0.013339284523987693</v>
      </c>
      <c r="X67" s="292">
        <f t="shared" si="7"/>
        <v>0.03831635589699611</v>
      </c>
      <c r="Y67" s="285">
        <f t="shared" si="9"/>
        <v>-1</v>
      </c>
      <c r="Z67" s="291">
        <f t="shared" si="10"/>
        <v>-0.17186218871079217</v>
      </c>
      <c r="AA67" s="285">
        <f t="shared" si="8"/>
        <v>-0.5446916173958833</v>
      </c>
      <c r="AB67" s="262" t="s">
        <v>114</v>
      </c>
    </row>
    <row r="68" spans="1:28" ht="31.5" customHeight="1" thickBot="1">
      <c r="A68" s="21" t="s">
        <v>70</v>
      </c>
      <c r="B68" s="110" t="s">
        <v>86</v>
      </c>
      <c r="C68" s="111" t="s">
        <v>71</v>
      </c>
      <c r="D68" s="188">
        <f>D66/D67</f>
        <v>55.80159647284109</v>
      </c>
      <c r="E68" s="25">
        <f>E65/E67</f>
        <v>2250.5153677723974</v>
      </c>
      <c r="F68" s="63">
        <f>F65/F67</f>
        <v>2276.432551646252</v>
      </c>
      <c r="G68" s="62">
        <f>G65/G67</f>
        <v>4345.88702582395</v>
      </c>
      <c r="H68" s="25">
        <f>H65/H67</f>
        <v>2900.426583099202</v>
      </c>
      <c r="I68" s="63">
        <f>I65/I67-0.01</f>
        <v>1059.344211708352</v>
      </c>
      <c r="J68" s="220"/>
      <c r="K68" s="25">
        <f>K65/K67</f>
        <v>2099.4096054601373</v>
      </c>
      <c r="L68" s="63">
        <f>L65/L67</f>
        <v>1928.3689249623048</v>
      </c>
      <c r="M68" s="233">
        <v>0</v>
      </c>
      <c r="N68" s="64">
        <f>N65/N67</f>
        <v>2898.5099999999984</v>
      </c>
      <c r="O68" s="63">
        <f>O65/O67</f>
        <v>1040.1399999999994</v>
      </c>
      <c r="P68" s="24">
        <f aca="true" t="shared" si="26" ref="P68:U69">J68-D68</f>
        <v>-55.80159647284109</v>
      </c>
      <c r="Q68" s="22">
        <f t="shared" si="26"/>
        <v>-151.10576231226014</v>
      </c>
      <c r="R68" s="23">
        <f t="shared" si="26"/>
        <v>-348.06362668394695</v>
      </c>
      <c r="S68" s="24">
        <f t="shared" si="26"/>
        <v>-4345.88702582395</v>
      </c>
      <c r="T68" s="22">
        <f t="shared" si="26"/>
        <v>-1.9165830992037627</v>
      </c>
      <c r="U68" s="23">
        <f t="shared" si="26"/>
        <v>-19.20421170835266</v>
      </c>
      <c r="V68" s="290"/>
      <c r="W68" s="291">
        <f>K68/E68-1</f>
        <v>-0.06714273738189469</v>
      </c>
      <c r="X68" s="292">
        <f t="shared" si="7"/>
        <v>-0.15289872148078232</v>
      </c>
      <c r="Y68" s="285">
        <f t="shared" si="9"/>
        <v>-1</v>
      </c>
      <c r="Z68" s="291">
        <f t="shared" si="10"/>
        <v>-0.000660793522708536</v>
      </c>
      <c r="AA68" s="285">
        <f t="shared" si="8"/>
        <v>-0.018128396319250117</v>
      </c>
      <c r="AB68" s="298"/>
    </row>
    <row r="69" spans="1:28" s="124" customFormat="1" ht="19.5" customHeight="1" hidden="1" thickBot="1">
      <c r="A69" s="112"/>
      <c r="B69" s="113" t="s">
        <v>87</v>
      </c>
      <c r="C69" s="114"/>
      <c r="D69" s="26">
        <f>E69+F69+G69+H69+I69</f>
        <v>100</v>
      </c>
      <c r="E69" s="27">
        <f>E67/D67*100</f>
        <v>72.12697547259145</v>
      </c>
      <c r="F69" s="29">
        <f>F67/D67*100</f>
        <v>13.026383644433823</v>
      </c>
      <c r="G69" s="28">
        <f>G67/D67*100</f>
        <v>2.6884259014089107</v>
      </c>
      <c r="H69" s="69">
        <f>H67/D67*100</f>
        <v>10.858622045034782</v>
      </c>
      <c r="I69" s="29">
        <f>I67/D67*100</f>
        <v>1.2995929365310392</v>
      </c>
      <c r="J69" s="221">
        <f>SUM(K69:O69)</f>
        <v>100.00000000000001</v>
      </c>
      <c r="K69" s="115">
        <f>K67/J67*100</f>
        <v>75.48684380637583</v>
      </c>
      <c r="L69" s="29">
        <f>L67/J67*100</f>
        <v>14.34693957556803</v>
      </c>
      <c r="M69" s="28">
        <f>M67/J67*100</f>
        <v>0</v>
      </c>
      <c r="N69" s="69">
        <f>N67/J67*100</f>
        <v>9.53856493497674</v>
      </c>
      <c r="O69" s="29">
        <f>O67/J67*100</f>
        <v>0.6276516830794132</v>
      </c>
      <c r="P69" s="263"/>
      <c r="Q69" s="25">
        <f>K69-E69</f>
        <v>3.3598683337843767</v>
      </c>
      <c r="R69" s="264">
        <f>L69-F69</f>
        <v>1.3205559311342068</v>
      </c>
      <c r="S69" s="263">
        <f t="shared" si="26"/>
        <v>-2.6884259014089107</v>
      </c>
      <c r="T69" s="25">
        <f t="shared" si="26"/>
        <v>-1.3200571100580412</v>
      </c>
      <c r="U69" s="264">
        <f t="shared" si="26"/>
        <v>-0.671941253451626</v>
      </c>
      <c r="V69" s="260">
        <f t="shared" si="5"/>
        <v>0</v>
      </c>
      <c r="W69" s="251">
        <f t="shared" si="6"/>
        <v>0.046582687153728486</v>
      </c>
      <c r="X69" s="252">
        <f t="shared" si="7"/>
        <v>0.10137548280320163</v>
      </c>
      <c r="Y69" s="250">
        <f t="shared" si="9"/>
        <v>-1</v>
      </c>
      <c r="Z69" s="251">
        <f t="shared" si="10"/>
        <v>-0.12156764500903239</v>
      </c>
      <c r="AA69" s="250">
        <f t="shared" si="8"/>
        <v>-0.517039785738769</v>
      </c>
      <c r="AB69" s="294"/>
    </row>
    <row r="70" spans="1:28" ht="58.5" customHeight="1" thickBot="1">
      <c r="A70" s="439" t="s">
        <v>89</v>
      </c>
      <c r="B70" s="201" t="s">
        <v>93</v>
      </c>
      <c r="C70" s="202" t="s">
        <v>60</v>
      </c>
      <c r="D70" s="353">
        <f>SUM(E70:F70)</f>
        <v>975.5609999999999</v>
      </c>
      <c r="E70" s="222">
        <f>E72+E73</f>
        <v>826.3239999999998</v>
      </c>
      <c r="F70" s="354">
        <f>F72+F73</f>
        <v>149.23700000000002</v>
      </c>
      <c r="G70" s="205"/>
      <c r="H70" s="206"/>
      <c r="I70" s="205"/>
      <c r="J70" s="222">
        <f>J72+J73</f>
        <v>970.2566470600002</v>
      </c>
      <c r="K70" s="203">
        <f>K72+K73</f>
        <v>815.3014290550002</v>
      </c>
      <c r="L70" s="207">
        <f>L72+L73</f>
        <v>154.955218005</v>
      </c>
      <c r="M70" s="208"/>
      <c r="N70" s="209"/>
      <c r="O70" s="210"/>
      <c r="P70" s="265"/>
      <c r="Q70" s="266"/>
      <c r="R70" s="29"/>
      <c r="S70" s="266"/>
      <c r="T70" s="28"/>
      <c r="U70" s="29"/>
      <c r="V70" s="290">
        <f t="shared" si="5"/>
        <v>-0.005437233489243298</v>
      </c>
      <c r="W70" s="291">
        <f>K70/E70-1</f>
        <v>-0.013339284523987693</v>
      </c>
      <c r="X70" s="292">
        <f t="shared" si="7"/>
        <v>0.03831635589699589</v>
      </c>
      <c r="Y70" s="285"/>
      <c r="Z70" s="291"/>
      <c r="AA70" s="285"/>
      <c r="AB70" s="298"/>
    </row>
    <row r="71" spans="1:28" ht="14.25" customHeight="1" thickBot="1">
      <c r="A71" s="440"/>
      <c r="B71" s="131" t="s">
        <v>15</v>
      </c>
      <c r="C71" s="116"/>
      <c r="D71" s="355"/>
      <c r="E71" s="356"/>
      <c r="F71" s="357"/>
      <c r="G71" s="92"/>
      <c r="H71" s="65"/>
      <c r="I71" s="92"/>
      <c r="J71" s="223"/>
      <c r="K71" s="135"/>
      <c r="L71" s="136"/>
      <c r="M71" s="118"/>
      <c r="N71" s="93"/>
      <c r="O71" s="117"/>
      <c r="P71" s="141">
        <f>J71-D71</f>
        <v>0</v>
      </c>
      <c r="Q71" s="203">
        <f>K71-E71</f>
        <v>0</v>
      </c>
      <c r="R71" s="204">
        <f>L71-F71</f>
        <v>0</v>
      </c>
      <c r="S71" s="141"/>
      <c r="T71" s="203"/>
      <c r="U71" s="204"/>
      <c r="V71" s="286"/>
      <c r="W71" s="240"/>
      <c r="X71" s="241"/>
      <c r="Y71" s="242"/>
      <c r="Z71" s="240"/>
      <c r="AA71" s="242"/>
      <c r="AB71" s="295"/>
    </row>
    <row r="72" spans="1:28" ht="18.75">
      <c r="A72" s="440"/>
      <c r="B72" s="132" t="s">
        <v>91</v>
      </c>
      <c r="C72" s="98" t="s">
        <v>17</v>
      </c>
      <c r="D72" s="358">
        <f>SUM(E72:F72)</f>
        <v>600.46966</v>
      </c>
      <c r="E72" s="359">
        <f>'[2]Дох и рас по теплу по среднему '!$FX$203</f>
        <v>467.06665999999996</v>
      </c>
      <c r="F72" s="360">
        <f>'[2]Дох и рас по теплу по среднему '!$FX$215</f>
        <v>133.40300000000002</v>
      </c>
      <c r="G72" s="71"/>
      <c r="H72" s="70"/>
      <c r="I72" s="71"/>
      <c r="J72" s="224">
        <f>K72+L72</f>
        <v>627.4810030000002</v>
      </c>
      <c r="K72" s="137">
        <f>'[1]Тар.см.АМК г.Павлодар факт'!$K$76-623.389868</f>
        <v>486.65064900000016</v>
      </c>
      <c r="L72" s="151">
        <f>'[1]Тар.см.АМК г.Павлодар факт'!$L$76-181.59723</f>
        <v>140.83035400000003</v>
      </c>
      <c r="M72" s="120"/>
      <c r="N72" s="72"/>
      <c r="O72" s="119"/>
      <c r="P72" s="267"/>
      <c r="Q72" s="268"/>
      <c r="R72" s="269"/>
      <c r="S72" s="267"/>
      <c r="T72" s="268"/>
      <c r="U72" s="269"/>
      <c r="V72" s="287">
        <f t="shared" si="5"/>
        <v>0.04498369326436946</v>
      </c>
      <c r="W72" s="255">
        <f>K72/E72-1</f>
        <v>0.041929751526259995</v>
      </c>
      <c r="X72" s="256">
        <f t="shared" si="7"/>
        <v>0.05567606425642602</v>
      </c>
      <c r="Y72" s="254"/>
      <c r="Z72" s="255"/>
      <c r="AA72" s="254"/>
      <c r="AB72" s="270"/>
    </row>
    <row r="73" spans="1:28" ht="57.75" customHeight="1" thickBot="1">
      <c r="A73" s="441"/>
      <c r="B73" s="133" t="s">
        <v>92</v>
      </c>
      <c r="C73" s="121" t="s">
        <v>17</v>
      </c>
      <c r="D73" s="358">
        <f>SUM(E73:F73)</f>
        <v>375.09133999999995</v>
      </c>
      <c r="E73" s="361">
        <f>'[2]Дох и рас по теплу по среднему '!$FX$230</f>
        <v>359.25733999999994</v>
      </c>
      <c r="F73" s="362">
        <f>'[2]Дох и рас по теплу по среднему '!$FX$242</f>
        <v>15.834000000000001</v>
      </c>
      <c r="G73" s="74"/>
      <c r="H73" s="73"/>
      <c r="I73" s="74"/>
      <c r="J73" s="225">
        <f>K73+L73</f>
        <v>342.77564406</v>
      </c>
      <c r="K73" s="152">
        <f>'[1]Тар.см.АМК г.Павлодар факт'!$K$77-503.186619</f>
        <v>328.650780055</v>
      </c>
      <c r="L73" s="153">
        <f>'[1]Тар.см.АМК г.Павлодар факт'!$L$77-23.590164</f>
        <v>14.124864004999992</v>
      </c>
      <c r="M73" s="123"/>
      <c r="N73" s="75"/>
      <c r="O73" s="122"/>
      <c r="P73" s="139">
        <f aca="true" t="shared" si="27" ref="P73:U74">J73-D73</f>
        <v>-32.315695939999955</v>
      </c>
      <c r="Q73" s="137">
        <f t="shared" si="27"/>
        <v>-30.606559944999958</v>
      </c>
      <c r="R73" s="140">
        <f t="shared" si="27"/>
        <v>-1.7091359950000093</v>
      </c>
      <c r="S73" s="139">
        <f t="shared" si="27"/>
        <v>0</v>
      </c>
      <c r="T73" s="137">
        <f t="shared" si="27"/>
        <v>0</v>
      </c>
      <c r="U73" s="140">
        <f t="shared" si="27"/>
        <v>0</v>
      </c>
      <c r="V73" s="289">
        <f t="shared" si="5"/>
        <v>-0.08615420430660958</v>
      </c>
      <c r="W73" s="275">
        <f t="shared" si="6"/>
        <v>-0.0851939725017169</v>
      </c>
      <c r="X73" s="276">
        <f t="shared" si="7"/>
        <v>-0.10794088638373178</v>
      </c>
      <c r="Y73" s="274"/>
      <c r="Z73" s="275"/>
      <c r="AA73" s="274"/>
      <c r="AB73" s="277" t="s">
        <v>115</v>
      </c>
    </row>
    <row r="74" spans="1:28" ht="27.75" customHeight="1" thickBot="1">
      <c r="A74" s="432" t="s">
        <v>90</v>
      </c>
      <c r="B74" s="128" t="s">
        <v>86</v>
      </c>
      <c r="C74" s="435" t="s">
        <v>71</v>
      </c>
      <c r="D74" s="197"/>
      <c r="E74" s="129"/>
      <c r="F74" s="130"/>
      <c r="G74" s="94"/>
      <c r="H74" s="163"/>
      <c r="I74" s="164"/>
      <c r="J74" s="226"/>
      <c r="K74" s="129"/>
      <c r="L74" s="130"/>
      <c r="M74" s="94"/>
      <c r="N74" s="129"/>
      <c r="O74" s="154"/>
      <c r="P74" s="271">
        <f t="shared" si="27"/>
        <v>0</v>
      </c>
      <c r="Q74" s="272">
        <f t="shared" si="27"/>
        <v>0</v>
      </c>
      <c r="R74" s="273">
        <f t="shared" si="27"/>
        <v>0</v>
      </c>
      <c r="S74" s="271">
        <f t="shared" si="27"/>
        <v>0</v>
      </c>
      <c r="T74" s="272">
        <f t="shared" si="27"/>
        <v>0</v>
      </c>
      <c r="U74" s="273">
        <f t="shared" si="27"/>
        <v>0</v>
      </c>
      <c r="V74" s="286"/>
      <c r="W74" s="240"/>
      <c r="X74" s="241"/>
      <c r="Y74" s="242"/>
      <c r="Z74" s="240"/>
      <c r="AA74" s="242"/>
      <c r="AB74" s="383"/>
    </row>
    <row r="75" spans="1:28" ht="54.75" customHeight="1">
      <c r="A75" s="433"/>
      <c r="B75" s="196" t="s">
        <v>95</v>
      </c>
      <c r="C75" s="436"/>
      <c r="D75" s="199"/>
      <c r="E75" s="158">
        <v>936.79</v>
      </c>
      <c r="F75" s="159">
        <v>948.15</v>
      </c>
      <c r="G75" s="165"/>
      <c r="H75" s="166"/>
      <c r="I75" s="167"/>
      <c r="J75" s="227"/>
      <c r="K75" s="158">
        <f aca="true" t="shared" si="28" ref="K75:L80">E75</f>
        <v>936.79</v>
      </c>
      <c r="L75" s="159">
        <f t="shared" si="28"/>
        <v>948.15</v>
      </c>
      <c r="M75" s="160"/>
      <c r="N75" s="161"/>
      <c r="O75" s="162"/>
      <c r="P75" s="267"/>
      <c r="Q75" s="268"/>
      <c r="R75" s="269"/>
      <c r="S75" s="94"/>
      <c r="T75" s="129"/>
      <c r="U75" s="130"/>
      <c r="V75" s="287"/>
      <c r="W75" s="255">
        <f t="shared" si="6"/>
        <v>0</v>
      </c>
      <c r="X75" s="256">
        <f t="shared" si="7"/>
        <v>0</v>
      </c>
      <c r="Y75" s="254"/>
      <c r="Z75" s="255"/>
      <c r="AA75" s="254"/>
      <c r="AB75" s="384"/>
    </row>
    <row r="76" spans="1:28" ht="54.75" customHeight="1">
      <c r="A76" s="433"/>
      <c r="B76" s="157" t="s">
        <v>96</v>
      </c>
      <c r="C76" s="436"/>
      <c r="D76" s="199"/>
      <c r="E76" s="158">
        <v>1917.55</v>
      </c>
      <c r="F76" s="159">
        <v>1899.77</v>
      </c>
      <c r="G76" s="165"/>
      <c r="H76" s="166"/>
      <c r="I76" s="167"/>
      <c r="J76" s="227"/>
      <c r="K76" s="158">
        <f t="shared" si="28"/>
        <v>1917.55</v>
      </c>
      <c r="L76" s="159">
        <f t="shared" si="28"/>
        <v>1899.77</v>
      </c>
      <c r="M76" s="160"/>
      <c r="N76" s="161"/>
      <c r="O76" s="162"/>
      <c r="P76" s="278"/>
      <c r="Q76" s="72">
        <f aca="true" t="shared" si="29" ref="Q76:R80">K76-E76</f>
        <v>0</v>
      </c>
      <c r="R76" s="279">
        <f t="shared" si="29"/>
        <v>0</v>
      </c>
      <c r="S76" s="139"/>
      <c r="T76" s="137"/>
      <c r="U76" s="140"/>
      <c r="V76" s="287"/>
      <c r="W76" s="255">
        <f t="shared" si="6"/>
        <v>0</v>
      </c>
      <c r="X76" s="256">
        <f t="shared" si="7"/>
        <v>0</v>
      </c>
      <c r="Y76" s="254"/>
      <c r="Z76" s="255"/>
      <c r="AA76" s="254"/>
      <c r="AB76" s="384"/>
    </row>
    <row r="77" spans="1:28" ht="54.75" customHeight="1">
      <c r="A77" s="433"/>
      <c r="B77" s="157" t="s">
        <v>97</v>
      </c>
      <c r="C77" s="436"/>
      <c r="D77" s="199"/>
      <c r="E77" s="158">
        <v>1873.57</v>
      </c>
      <c r="F77" s="159">
        <v>1896.29</v>
      </c>
      <c r="G77" s="165"/>
      <c r="H77" s="166"/>
      <c r="I77" s="167"/>
      <c r="J77" s="227"/>
      <c r="K77" s="158">
        <f t="shared" si="28"/>
        <v>1873.57</v>
      </c>
      <c r="L77" s="159">
        <f t="shared" si="28"/>
        <v>1896.29</v>
      </c>
      <c r="M77" s="160"/>
      <c r="N77" s="161"/>
      <c r="O77" s="162"/>
      <c r="P77" s="278"/>
      <c r="Q77" s="72">
        <f t="shared" si="29"/>
        <v>0</v>
      </c>
      <c r="R77" s="279">
        <f t="shared" si="29"/>
        <v>0</v>
      </c>
      <c r="S77" s="139"/>
      <c r="T77" s="137"/>
      <c r="U77" s="140"/>
      <c r="V77" s="287"/>
      <c r="W77" s="255">
        <f t="shared" si="6"/>
        <v>0</v>
      </c>
      <c r="X77" s="256">
        <f t="shared" si="7"/>
        <v>0</v>
      </c>
      <c r="Y77" s="254"/>
      <c r="Z77" s="255"/>
      <c r="AA77" s="254"/>
      <c r="AB77" s="384"/>
    </row>
    <row r="78" spans="1:28" ht="54.75" customHeight="1">
      <c r="A78" s="433"/>
      <c r="B78" s="157" t="s">
        <v>98</v>
      </c>
      <c r="C78" s="436"/>
      <c r="D78" s="199"/>
      <c r="E78" s="158">
        <v>2413.88</v>
      </c>
      <c r="F78" s="159">
        <v>1949.21</v>
      </c>
      <c r="G78" s="165"/>
      <c r="H78" s="166"/>
      <c r="I78" s="167"/>
      <c r="J78" s="227"/>
      <c r="K78" s="158">
        <f t="shared" si="28"/>
        <v>2413.88</v>
      </c>
      <c r="L78" s="159">
        <f t="shared" si="28"/>
        <v>1949.21</v>
      </c>
      <c r="M78" s="160"/>
      <c r="N78" s="161"/>
      <c r="O78" s="162"/>
      <c r="P78" s="278"/>
      <c r="Q78" s="72">
        <f t="shared" si="29"/>
        <v>0</v>
      </c>
      <c r="R78" s="279">
        <f t="shared" si="29"/>
        <v>0</v>
      </c>
      <c r="S78" s="139"/>
      <c r="T78" s="137"/>
      <c r="U78" s="140"/>
      <c r="V78" s="287"/>
      <c r="W78" s="255">
        <f t="shared" si="6"/>
        <v>0</v>
      </c>
      <c r="X78" s="256">
        <f t="shared" si="7"/>
        <v>0</v>
      </c>
      <c r="Y78" s="254"/>
      <c r="Z78" s="255"/>
      <c r="AA78" s="254"/>
      <c r="AB78" s="384"/>
    </row>
    <row r="79" spans="1:28" ht="54.75" customHeight="1">
      <c r="A79" s="433"/>
      <c r="B79" s="157" t="s">
        <v>99</v>
      </c>
      <c r="C79" s="436"/>
      <c r="D79" s="199"/>
      <c r="E79" s="158">
        <v>3603.16</v>
      </c>
      <c r="F79" s="159">
        <v>3600.27</v>
      </c>
      <c r="G79" s="165"/>
      <c r="H79" s="166"/>
      <c r="I79" s="167"/>
      <c r="J79" s="227"/>
      <c r="K79" s="158">
        <f t="shared" si="28"/>
        <v>3603.16</v>
      </c>
      <c r="L79" s="159">
        <f t="shared" si="28"/>
        <v>3600.27</v>
      </c>
      <c r="M79" s="160"/>
      <c r="N79" s="161"/>
      <c r="O79" s="162"/>
      <c r="P79" s="278"/>
      <c r="Q79" s="72">
        <f t="shared" si="29"/>
        <v>0</v>
      </c>
      <c r="R79" s="279">
        <f t="shared" si="29"/>
        <v>0</v>
      </c>
      <c r="S79" s="139"/>
      <c r="T79" s="137"/>
      <c r="U79" s="140"/>
      <c r="V79" s="287"/>
      <c r="W79" s="255">
        <f t="shared" si="6"/>
        <v>0</v>
      </c>
      <c r="X79" s="256">
        <f t="shared" si="7"/>
        <v>0</v>
      </c>
      <c r="Y79" s="254"/>
      <c r="Z79" s="255"/>
      <c r="AA79" s="254"/>
      <c r="AB79" s="384"/>
    </row>
    <row r="80" spans="1:28" ht="54.75" customHeight="1" thickBot="1">
      <c r="A80" s="434"/>
      <c r="B80" s="229" t="s">
        <v>100</v>
      </c>
      <c r="C80" s="437"/>
      <c r="D80" s="200"/>
      <c r="E80" s="75">
        <v>2761.08</v>
      </c>
      <c r="F80" s="142">
        <v>2764.22</v>
      </c>
      <c r="G80" s="168"/>
      <c r="H80" s="169"/>
      <c r="I80" s="170"/>
      <c r="J80" s="228"/>
      <c r="K80" s="75">
        <f t="shared" si="28"/>
        <v>2761.08</v>
      </c>
      <c r="L80" s="142">
        <f t="shared" si="28"/>
        <v>2764.22</v>
      </c>
      <c r="M80" s="76"/>
      <c r="N80" s="155"/>
      <c r="O80" s="156"/>
      <c r="P80" s="278"/>
      <c r="Q80" s="72">
        <f t="shared" si="29"/>
        <v>0</v>
      </c>
      <c r="R80" s="279">
        <f t="shared" si="29"/>
        <v>0</v>
      </c>
      <c r="S80" s="280"/>
      <c r="T80" s="137"/>
      <c r="U80" s="140"/>
      <c r="V80" s="289"/>
      <c r="W80" s="275">
        <f t="shared" si="6"/>
        <v>0</v>
      </c>
      <c r="X80" s="276">
        <f t="shared" si="7"/>
        <v>0</v>
      </c>
      <c r="Y80" s="274"/>
      <c r="Z80" s="275"/>
      <c r="AA80" s="274"/>
      <c r="AB80" s="385"/>
    </row>
    <row r="81" spans="1:28" ht="19.5" thickBot="1">
      <c r="A81" s="300"/>
      <c r="B81" s="301" t="s">
        <v>124</v>
      </c>
      <c r="C81" s="302"/>
      <c r="D81" s="377"/>
      <c r="E81" s="378"/>
      <c r="F81" s="378"/>
      <c r="G81" s="378"/>
      <c r="H81" s="378"/>
      <c r="I81" s="378"/>
      <c r="J81" s="303"/>
      <c r="K81" s="304"/>
      <c r="L81" s="305"/>
      <c r="M81" s="306"/>
      <c r="N81" s="307"/>
      <c r="O81" s="308"/>
      <c r="P81" s="281"/>
      <c r="Q81" s="282"/>
      <c r="R81" s="282"/>
      <c r="S81" s="282"/>
      <c r="T81" s="282"/>
      <c r="U81" s="283"/>
      <c r="V81" s="284"/>
      <c r="W81" s="285"/>
      <c r="X81" s="285"/>
      <c r="Y81" s="261"/>
      <c r="Z81" s="261"/>
      <c r="AA81" s="261"/>
      <c r="AB81" s="33"/>
    </row>
    <row r="82" spans="1:28" ht="18.75">
      <c r="A82" s="309"/>
      <c r="B82" s="310" t="s">
        <v>125</v>
      </c>
      <c r="C82" s="311" t="s">
        <v>126</v>
      </c>
      <c r="D82" s="387">
        <v>132</v>
      </c>
      <c r="E82" s="388"/>
      <c r="F82" s="388"/>
      <c r="G82" s="388"/>
      <c r="H82" s="388"/>
      <c r="I82" s="388"/>
      <c r="J82" s="389">
        <v>132</v>
      </c>
      <c r="K82" s="390"/>
      <c r="L82" s="390"/>
      <c r="M82" s="390"/>
      <c r="N82" s="390"/>
      <c r="O82" s="391"/>
      <c r="P82" s="392">
        <f>J82-D82</f>
        <v>0</v>
      </c>
      <c r="Q82" s="393"/>
      <c r="R82" s="393"/>
      <c r="S82" s="393"/>
      <c r="T82" s="393"/>
      <c r="U82" s="393"/>
      <c r="V82" s="394">
        <f>P82/D82</f>
        <v>0</v>
      </c>
      <c r="W82" s="394"/>
      <c r="X82" s="394"/>
      <c r="Y82" s="394"/>
      <c r="Z82" s="394"/>
      <c r="AA82" s="395"/>
      <c r="AB82" s="171"/>
    </row>
    <row r="83" spans="1:28" ht="31.5">
      <c r="A83" s="312"/>
      <c r="B83" s="313" t="s">
        <v>127</v>
      </c>
      <c r="C83" s="314" t="s">
        <v>128</v>
      </c>
      <c r="D83" s="365">
        <v>49099</v>
      </c>
      <c r="E83" s="366"/>
      <c r="F83" s="366"/>
      <c r="G83" s="366"/>
      <c r="H83" s="366"/>
      <c r="I83" s="367"/>
      <c r="J83" s="368">
        <f>J35/132/6*1000</f>
        <v>82165.03872759343</v>
      </c>
      <c r="K83" s="369"/>
      <c r="L83" s="369"/>
      <c r="M83" s="369"/>
      <c r="N83" s="369"/>
      <c r="O83" s="370"/>
      <c r="P83" s="371">
        <f>J83-D83</f>
        <v>33066.03872759343</v>
      </c>
      <c r="Q83" s="372"/>
      <c r="R83" s="372"/>
      <c r="S83" s="372"/>
      <c r="T83" s="372"/>
      <c r="U83" s="372"/>
      <c r="V83" s="373">
        <f>J83/D83-1</f>
        <v>0.6734564599603543</v>
      </c>
      <c r="W83" s="373"/>
      <c r="X83" s="373"/>
      <c r="Y83" s="373"/>
      <c r="Z83" s="373"/>
      <c r="AA83" s="374"/>
      <c r="AB83" s="248" t="s">
        <v>129</v>
      </c>
    </row>
    <row r="84" spans="1:28" s="198" customFormat="1" ht="19.5" thickBot="1">
      <c r="A84" s="315"/>
      <c r="B84" s="316" t="s">
        <v>130</v>
      </c>
      <c r="C84" s="317" t="s">
        <v>131</v>
      </c>
      <c r="D84" s="318">
        <v>48.36</v>
      </c>
      <c r="E84" s="319">
        <v>48.36</v>
      </c>
      <c r="F84" s="319">
        <v>48.36</v>
      </c>
      <c r="G84" s="319">
        <v>48.36</v>
      </c>
      <c r="H84" s="319">
        <v>48.36</v>
      </c>
      <c r="I84" s="320">
        <v>48.36</v>
      </c>
      <c r="J84" s="318">
        <v>48.36</v>
      </c>
      <c r="K84" s="319">
        <v>48.36</v>
      </c>
      <c r="L84" s="319">
        <v>48.36</v>
      </c>
      <c r="M84" s="319">
        <v>48.36</v>
      </c>
      <c r="N84" s="319">
        <v>48.36</v>
      </c>
      <c r="O84" s="321">
        <v>48.36</v>
      </c>
      <c r="P84" s="322">
        <f>J84-D84</f>
        <v>0</v>
      </c>
      <c r="Q84" s="323">
        <f>K84-E84</f>
        <v>0</v>
      </c>
      <c r="R84" s="324">
        <f>L84-F84</f>
        <v>0</v>
      </c>
      <c r="S84" s="323">
        <f>M84-G84</f>
        <v>0</v>
      </c>
      <c r="T84" s="325">
        <f>N84-H84</f>
        <v>0</v>
      </c>
      <c r="U84" s="324">
        <f>O84-I84</f>
        <v>0</v>
      </c>
      <c r="V84" s="326">
        <f aca="true" t="shared" si="30" ref="V84:AA84">P84/D84</f>
        <v>0</v>
      </c>
      <c r="W84" s="326">
        <f t="shared" si="30"/>
        <v>0</v>
      </c>
      <c r="X84" s="326">
        <f t="shared" si="30"/>
        <v>0</v>
      </c>
      <c r="Y84" s="326">
        <f t="shared" si="30"/>
        <v>0</v>
      </c>
      <c r="Z84" s="326">
        <f t="shared" si="30"/>
        <v>0</v>
      </c>
      <c r="AA84" s="327">
        <f t="shared" si="30"/>
        <v>0</v>
      </c>
      <c r="AB84" s="328"/>
    </row>
    <row r="85" spans="1:28" s="198" customFormat="1" ht="18.75">
      <c r="A85" s="329"/>
      <c r="B85" s="330"/>
      <c r="C85" s="331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3"/>
      <c r="Q85" s="333"/>
      <c r="R85" s="333"/>
      <c r="S85" s="333"/>
      <c r="T85" s="333"/>
      <c r="U85" s="333"/>
      <c r="V85" s="250"/>
      <c r="W85" s="250"/>
      <c r="X85" s="250"/>
      <c r="Y85" s="250"/>
      <c r="Z85" s="250"/>
      <c r="AA85" s="250"/>
      <c r="AB85" s="20"/>
    </row>
    <row r="86" spans="1:28" s="198" customFormat="1" ht="20.25" hidden="1" outlineLevel="1">
      <c r="A86" s="334" t="s">
        <v>132</v>
      </c>
      <c r="B86" s="334"/>
      <c r="C86" s="334"/>
      <c r="D86" s="332"/>
      <c r="E86" s="332"/>
      <c r="F86" s="332"/>
      <c r="G86" s="332"/>
      <c r="H86" s="332"/>
      <c r="I86" s="332"/>
      <c r="J86" s="332"/>
      <c r="K86" s="332"/>
      <c r="L86" s="332"/>
      <c r="M86" s="332"/>
      <c r="N86" s="332"/>
      <c r="O86" s="332"/>
      <c r="P86" s="333"/>
      <c r="Q86" s="333"/>
      <c r="R86" s="333"/>
      <c r="S86" s="333"/>
      <c r="T86" s="333"/>
      <c r="U86" s="333"/>
      <c r="V86" s="250"/>
      <c r="W86" s="250"/>
      <c r="X86" s="250"/>
      <c r="Y86" s="250"/>
      <c r="Z86" s="250"/>
      <c r="AA86" s="250"/>
      <c r="AB86" s="20"/>
    </row>
    <row r="87" spans="1:28" s="198" customFormat="1" ht="20.25" hidden="1" outlineLevel="1">
      <c r="A87" s="335" t="s">
        <v>133</v>
      </c>
      <c r="B87" s="335"/>
      <c r="C87" s="335"/>
      <c r="D87" s="332"/>
      <c r="E87" s="332"/>
      <c r="F87" s="332"/>
      <c r="G87" s="332"/>
      <c r="H87" s="332"/>
      <c r="I87" s="332"/>
      <c r="J87" s="332"/>
      <c r="K87" s="332"/>
      <c r="L87" s="332"/>
      <c r="M87" s="332"/>
      <c r="N87" s="332"/>
      <c r="O87" s="332"/>
      <c r="P87" s="333"/>
      <c r="Q87" s="333"/>
      <c r="R87" s="333"/>
      <c r="S87" s="333"/>
      <c r="T87" s="333"/>
      <c r="U87" s="333"/>
      <c r="V87" s="250"/>
      <c r="W87" s="250"/>
      <c r="X87" s="250"/>
      <c r="Y87" s="250"/>
      <c r="Z87" s="250"/>
      <c r="AA87" s="250"/>
      <c r="AB87" s="20"/>
    </row>
    <row r="88" spans="1:28" s="198" customFormat="1" ht="20.25" hidden="1" outlineLevel="1">
      <c r="A88" s="335" t="s">
        <v>134</v>
      </c>
      <c r="B88" s="335"/>
      <c r="C88" s="336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2"/>
      <c r="O88" s="332"/>
      <c r="P88" s="333"/>
      <c r="Q88" s="333"/>
      <c r="R88" s="333"/>
      <c r="S88" s="333"/>
      <c r="T88" s="333"/>
      <c r="U88" s="333"/>
      <c r="V88" s="250"/>
      <c r="W88" s="250"/>
      <c r="X88" s="250"/>
      <c r="Y88" s="250"/>
      <c r="Z88" s="250"/>
      <c r="AA88" s="250"/>
      <c r="AB88" s="20"/>
    </row>
    <row r="89" spans="1:28" s="198" customFormat="1" ht="20.25" hidden="1" outlineLevel="1">
      <c r="A89" s="335" t="s">
        <v>135</v>
      </c>
      <c r="B89" s="335"/>
      <c r="C89" s="335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2"/>
      <c r="P89" s="333"/>
      <c r="Q89" s="333"/>
      <c r="R89" s="333"/>
      <c r="S89" s="333"/>
      <c r="T89" s="333"/>
      <c r="U89" s="333"/>
      <c r="V89" s="250"/>
      <c r="W89" s="250"/>
      <c r="X89" s="250"/>
      <c r="Y89" s="250"/>
      <c r="Z89" s="250"/>
      <c r="AA89" s="250"/>
      <c r="AB89" s="20"/>
    </row>
    <row r="90" spans="1:28" s="198" customFormat="1" ht="20.25" hidden="1" outlineLevel="1">
      <c r="A90" s="335" t="s">
        <v>136</v>
      </c>
      <c r="B90" s="335"/>
      <c r="C90" s="335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3"/>
      <c r="Q90" s="333"/>
      <c r="R90" s="333"/>
      <c r="S90" s="333"/>
      <c r="T90" s="333"/>
      <c r="U90" s="333"/>
      <c r="V90" s="250"/>
      <c r="W90" s="250"/>
      <c r="X90" s="250"/>
      <c r="Y90" s="250"/>
      <c r="Z90" s="250"/>
      <c r="AA90" s="250"/>
      <c r="AB90" s="20"/>
    </row>
    <row r="91" spans="1:28" s="198" customFormat="1" ht="18.75" hidden="1" outlineLevel="1">
      <c r="A91" s="329"/>
      <c r="B91" s="330"/>
      <c r="C91" s="331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3"/>
      <c r="Q91" s="333"/>
      <c r="R91" s="333"/>
      <c r="S91" s="333"/>
      <c r="T91" s="333"/>
      <c r="U91" s="333"/>
      <c r="V91" s="250"/>
      <c r="W91" s="250"/>
      <c r="X91" s="250"/>
      <c r="Y91" s="250"/>
      <c r="Z91" s="250"/>
      <c r="AA91" s="250"/>
      <c r="AB91" s="20"/>
    </row>
    <row r="92" spans="1:28" s="198" customFormat="1" ht="18.75" collapsed="1">
      <c r="A92" s="329"/>
      <c r="B92" s="330"/>
      <c r="C92" s="331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3"/>
      <c r="Q92" s="333"/>
      <c r="R92" s="333"/>
      <c r="S92" s="333"/>
      <c r="T92" s="333"/>
      <c r="U92" s="333"/>
      <c r="V92" s="250"/>
      <c r="W92" s="250"/>
      <c r="X92" s="250"/>
      <c r="Y92" s="250"/>
      <c r="Z92" s="250"/>
      <c r="AA92" s="250"/>
      <c r="AB92" s="20"/>
    </row>
    <row r="93" spans="1:28" s="198" customFormat="1" ht="18.75">
      <c r="A93" s="329"/>
      <c r="B93" s="330"/>
      <c r="C93" s="331"/>
      <c r="D93" s="332"/>
      <c r="E93" s="332"/>
      <c r="F93" s="332"/>
      <c r="G93" s="332"/>
      <c r="H93" s="332"/>
      <c r="I93" s="332"/>
      <c r="J93" s="332"/>
      <c r="K93" s="332"/>
      <c r="L93" s="332"/>
      <c r="M93" s="332"/>
      <c r="N93" s="332"/>
      <c r="O93" s="332"/>
      <c r="P93" s="333"/>
      <c r="Q93" s="333"/>
      <c r="R93" s="333"/>
      <c r="S93" s="333"/>
      <c r="T93" s="333"/>
      <c r="U93" s="333"/>
      <c r="V93" s="250"/>
      <c r="W93" s="250"/>
      <c r="X93" s="250"/>
      <c r="Y93" s="250"/>
      <c r="Z93" s="250"/>
      <c r="AA93" s="250"/>
      <c r="AB93" s="20"/>
    </row>
    <row r="94" spans="1:28" s="198" customFormat="1" ht="18.75">
      <c r="A94" s="329"/>
      <c r="B94" s="330"/>
      <c r="C94" s="331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2"/>
      <c r="O94" s="332"/>
      <c r="P94" s="333"/>
      <c r="Q94" s="333"/>
      <c r="R94" s="333"/>
      <c r="S94" s="333"/>
      <c r="T94" s="333"/>
      <c r="U94" s="333"/>
      <c r="V94" s="250"/>
      <c r="W94" s="250"/>
      <c r="X94" s="250"/>
      <c r="Y94" s="250"/>
      <c r="Z94" s="250"/>
      <c r="AA94" s="250"/>
      <c r="AB94" s="20"/>
    </row>
    <row r="95" spans="1:28" s="198" customFormat="1" ht="18.75">
      <c r="A95" s="329"/>
      <c r="B95" s="330"/>
      <c r="C95" s="331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3"/>
      <c r="Q95" s="333"/>
      <c r="R95" s="333"/>
      <c r="S95" s="333"/>
      <c r="T95" s="333"/>
      <c r="U95" s="333"/>
      <c r="V95" s="250"/>
      <c r="W95" s="250"/>
      <c r="X95" s="250"/>
      <c r="Y95" s="250"/>
      <c r="Z95" s="250"/>
      <c r="AA95" s="250"/>
      <c r="AB95" s="20"/>
    </row>
    <row r="96" spans="1:28" s="198" customFormat="1" ht="18.75">
      <c r="A96" s="329"/>
      <c r="B96" s="330"/>
      <c r="C96" s="331"/>
      <c r="D96" s="332"/>
      <c r="E96" s="332"/>
      <c r="F96" s="332"/>
      <c r="G96" s="332"/>
      <c r="H96" s="332"/>
      <c r="I96" s="332"/>
      <c r="J96" s="332"/>
      <c r="K96" s="332"/>
      <c r="L96" s="332"/>
      <c r="M96" s="332"/>
      <c r="N96" s="332"/>
      <c r="O96" s="332"/>
      <c r="P96" s="333"/>
      <c r="Q96" s="333"/>
      <c r="R96" s="333"/>
      <c r="S96" s="333"/>
      <c r="T96" s="333"/>
      <c r="U96" s="333"/>
      <c r="V96" s="250"/>
      <c r="W96" s="250"/>
      <c r="X96" s="250"/>
      <c r="Y96" s="250"/>
      <c r="Z96" s="250"/>
      <c r="AA96" s="250"/>
      <c r="AB96" s="20"/>
    </row>
    <row r="97" spans="1:28" s="198" customFormat="1" ht="18.75">
      <c r="A97" s="329"/>
      <c r="B97" s="330"/>
      <c r="C97" s="331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3"/>
      <c r="Q97" s="333"/>
      <c r="R97" s="333"/>
      <c r="S97" s="333"/>
      <c r="T97" s="333"/>
      <c r="U97" s="333"/>
      <c r="V97" s="250"/>
      <c r="W97" s="250"/>
      <c r="X97" s="250"/>
      <c r="Y97" s="250"/>
      <c r="Z97" s="250"/>
      <c r="AA97" s="250"/>
      <c r="AB97" s="20"/>
    </row>
    <row r="98" spans="1:28" ht="23.25" customHeight="1">
      <c r="A98" s="386" t="s">
        <v>102</v>
      </c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/>
      <c r="U98" s="386"/>
      <c r="V98" s="386"/>
      <c r="W98" s="386"/>
      <c r="X98" s="386"/>
      <c r="Y98" s="386"/>
      <c r="Z98" s="386"/>
      <c r="AA98" s="386"/>
      <c r="AB98" s="386"/>
    </row>
    <row r="99" spans="3:15" ht="23.25">
      <c r="C99" s="32"/>
      <c r="D99" s="30"/>
      <c r="E99" s="30"/>
      <c r="F99" s="30"/>
      <c r="G99" s="32"/>
      <c r="H99" s="138"/>
      <c r="I99" s="138"/>
      <c r="J99" s="138"/>
      <c r="K99" s="138"/>
      <c r="L99" s="138"/>
      <c r="M99" s="138"/>
      <c r="N99" s="138"/>
      <c r="O99" s="138"/>
    </row>
    <row r="100" spans="2:15" ht="23.25">
      <c r="B100" s="31"/>
      <c r="C100" s="30"/>
      <c r="D100" s="30"/>
      <c r="E100" s="346"/>
      <c r="F100" s="346"/>
      <c r="G100" s="346"/>
      <c r="H100" s="347"/>
      <c r="I100" s="347"/>
      <c r="J100" s="138"/>
      <c r="K100" s="346"/>
      <c r="L100" s="346"/>
      <c r="M100" s="346"/>
      <c r="N100" s="347"/>
      <c r="O100" s="347"/>
    </row>
    <row r="101" spans="2:15" ht="23.25">
      <c r="B101" s="31"/>
      <c r="C101" s="32"/>
      <c r="D101" s="30"/>
      <c r="E101" s="344"/>
      <c r="F101" s="344"/>
      <c r="G101" s="345"/>
      <c r="H101" s="345"/>
      <c r="I101" s="345"/>
      <c r="J101" s="138"/>
      <c r="K101" s="138"/>
      <c r="L101" s="138"/>
      <c r="M101" s="138"/>
      <c r="N101" s="138"/>
      <c r="O101" s="138"/>
    </row>
    <row r="102" spans="2:15" ht="18.75">
      <c r="B102" s="31"/>
      <c r="H102" s="138"/>
      <c r="I102" s="138"/>
      <c r="J102" s="138"/>
      <c r="K102" s="138"/>
      <c r="L102" s="138"/>
      <c r="M102" s="138"/>
      <c r="N102" s="138"/>
      <c r="O102" s="138"/>
    </row>
    <row r="103" spans="8:15" ht="18.75">
      <c r="H103" s="138"/>
      <c r="I103" s="138"/>
      <c r="J103" s="138"/>
      <c r="K103" s="138"/>
      <c r="L103" s="138"/>
      <c r="M103" s="138"/>
      <c r="N103" s="138"/>
      <c r="O103" s="138"/>
    </row>
    <row r="104" spans="8:15" ht="18.75">
      <c r="H104" s="138"/>
      <c r="I104" s="138"/>
      <c r="J104" s="138"/>
      <c r="K104" s="138"/>
      <c r="L104" s="138"/>
      <c r="M104" s="138"/>
      <c r="N104" s="138"/>
      <c r="O104" s="138"/>
    </row>
  </sheetData>
  <sheetProtection/>
  <mergeCells count="55">
    <mergeCell ref="A29:A30"/>
    <mergeCell ref="A74:A80"/>
    <mergeCell ref="C74:C80"/>
    <mergeCell ref="A33:A34"/>
    <mergeCell ref="D13:I13"/>
    <mergeCell ref="A38:A39"/>
    <mergeCell ref="A42:A43"/>
    <mergeCell ref="A50:A54"/>
    <mergeCell ref="A70:A73"/>
    <mergeCell ref="J13:O13"/>
    <mergeCell ref="K14:L16"/>
    <mergeCell ref="D14:D17"/>
    <mergeCell ref="E14:F16"/>
    <mergeCell ref="G14:I15"/>
    <mergeCell ref="J14:J17"/>
    <mergeCell ref="B9:G9"/>
    <mergeCell ref="B11:M11"/>
    <mergeCell ref="A13:A17"/>
    <mergeCell ref="B13:B17"/>
    <mergeCell ref="C13:C17"/>
    <mergeCell ref="M14:O15"/>
    <mergeCell ref="G16:G17"/>
    <mergeCell ref="H16:I16"/>
    <mergeCell ref="M16:M17"/>
    <mergeCell ref="N16:O16"/>
    <mergeCell ref="P13:AA13"/>
    <mergeCell ref="AB13:AB17"/>
    <mergeCell ref="P14:P17"/>
    <mergeCell ref="Q14:U14"/>
    <mergeCell ref="V14:V17"/>
    <mergeCell ref="W14:AA14"/>
    <mergeCell ref="Q15:R16"/>
    <mergeCell ref="S15:U15"/>
    <mergeCell ref="W15:X16"/>
    <mergeCell ref="Y15:AA15"/>
    <mergeCell ref="S16:S17"/>
    <mergeCell ref="T16:U16"/>
    <mergeCell ref="Y16:Y17"/>
    <mergeCell ref="Z16:AA16"/>
    <mergeCell ref="AB74:AB80"/>
    <mergeCell ref="A98:AB98"/>
    <mergeCell ref="D82:I82"/>
    <mergeCell ref="J82:O82"/>
    <mergeCell ref="P82:U82"/>
    <mergeCell ref="V82:AA82"/>
    <mergeCell ref="D83:I83"/>
    <mergeCell ref="J83:O83"/>
    <mergeCell ref="P83:U83"/>
    <mergeCell ref="V83:AA83"/>
    <mergeCell ref="X1:AB1"/>
    <mergeCell ref="X2:AB2"/>
    <mergeCell ref="X3:AB3"/>
    <mergeCell ref="X4:AB4"/>
    <mergeCell ref="X5:AB5"/>
    <mergeCell ref="D81:I81"/>
  </mergeCells>
  <printOptions/>
  <pageMargins left="0.5905511811023623" right="0.1968503937007874" top="0.1968503937007874" bottom="0.1968503937007874" header="0.5118110236220472" footer="0.5118110236220472"/>
  <pageSetup fitToHeight="2" horizontalDpi="600" verticalDpi="600" orientation="landscape" paperSize="9" scale="39" r:id="rId1"/>
  <rowBreaks count="1" manualBreakCount="1">
    <brk id="54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Hohlova</cp:lastModifiedBy>
  <cp:lastPrinted>2016-05-24T03:40:05Z</cp:lastPrinted>
  <dcterms:created xsi:type="dcterms:W3CDTF">2009-02-25T04:19:22Z</dcterms:created>
  <dcterms:modified xsi:type="dcterms:W3CDTF">2016-05-24T11:23:46Z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